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EJECUCION PRESUPUESTAL 2021-2025\EJECUCION PRESUPUESTAL 2025\EJECUCIONES PARA EL PORTAL 2025\"/>
    </mc:Choice>
  </mc:AlternateContent>
  <bookViews>
    <workbookView xWindow="-120" yWindow="-120" windowWidth="24240" windowHeight="13140"/>
  </bookViews>
  <sheets>
    <sheet name="SEPTIEMBRE 2025" sheetId="26" r:id="rId1"/>
  </sheets>
  <definedNames>
    <definedName name="_xlnm.Print_Area" localSheetId="0">'SEPTIEMBRE 2025'!$A$5:$R$187</definedName>
    <definedName name="_xlnm.Print_Titles" localSheetId="0">'SEPTIEMBRE 2025'!$5:$11</definedName>
  </definedNames>
  <calcPr calcId="162913"/>
</workbook>
</file>

<file path=xl/calcChain.xml><?xml version="1.0" encoding="utf-8"?>
<calcChain xmlns="http://schemas.openxmlformats.org/spreadsheetml/2006/main">
  <c r="R157" i="26" l="1"/>
  <c r="R153" i="26"/>
  <c r="R119" i="26"/>
  <c r="P109" i="26"/>
  <c r="P135" i="26" l="1"/>
  <c r="P113" i="26"/>
  <c r="P102" i="26"/>
  <c r="P100" i="26"/>
  <c r="P99" i="26"/>
  <c r="P92" i="26"/>
  <c r="P71" i="26"/>
  <c r="P57" i="26"/>
  <c r="P51" i="26"/>
  <c r="P50" i="26"/>
  <c r="P36" i="26"/>
  <c r="P18" i="26" l="1"/>
  <c r="N23" i="26"/>
  <c r="O23" i="26"/>
  <c r="P23" i="26"/>
  <c r="N26" i="26"/>
  <c r="O26" i="26"/>
  <c r="P26" i="26"/>
  <c r="O39" i="26"/>
  <c r="O48" i="26"/>
  <c r="P48" i="26"/>
  <c r="O59" i="26"/>
  <c r="P59" i="26"/>
  <c r="O62" i="26"/>
  <c r="P62" i="26"/>
  <c r="O66" i="26"/>
  <c r="P66" i="26"/>
  <c r="P70" i="26"/>
  <c r="P77" i="26"/>
  <c r="P82" i="26"/>
  <c r="P87" i="26"/>
  <c r="P86" i="26"/>
  <c r="P98" i="26"/>
  <c r="P104" i="26"/>
  <c r="P111" i="26"/>
  <c r="P120" i="26"/>
  <c r="P123" i="26"/>
  <c r="P133" i="26"/>
  <c r="Q49" i="26"/>
  <c r="R49" i="26" s="1"/>
  <c r="Q36" i="26"/>
  <c r="Q34" i="26"/>
  <c r="R34" i="26" s="1"/>
  <c r="Q24" i="26"/>
  <c r="R24" i="26" s="1"/>
  <c r="R23" i="26" s="1"/>
  <c r="P41" i="26"/>
  <c r="P39" i="26" s="1"/>
  <c r="P33" i="26" s="1"/>
  <c r="P32" i="26" s="1"/>
  <c r="R36" i="26" l="1"/>
  <c r="Q23" i="26"/>
  <c r="P94" i="26"/>
  <c r="P55" i="26"/>
  <c r="P54" i="26" s="1"/>
  <c r="P16" i="26" l="1"/>
  <c r="P15" i="26" s="1"/>
  <c r="P14" i="26" s="1"/>
  <c r="Q157" i="26" l="1"/>
  <c r="Q156" i="26"/>
  <c r="R156" i="26" s="1"/>
  <c r="Q155" i="26"/>
  <c r="Q151" i="26"/>
  <c r="R151" i="26" s="1"/>
  <c r="Q146" i="26"/>
  <c r="R146" i="26" s="1"/>
  <c r="Q147" i="26"/>
  <c r="R147" i="26" s="1"/>
  <c r="Q148" i="26"/>
  <c r="R148" i="26" s="1"/>
  <c r="Q149" i="26"/>
  <c r="Q144" i="26"/>
  <c r="Q139" i="26"/>
  <c r="Q134" i="26"/>
  <c r="Q131" i="26"/>
  <c r="Q126" i="26"/>
  <c r="Q125" i="26"/>
  <c r="Q121" i="26"/>
  <c r="Q120" i="26" s="1"/>
  <c r="Q118" i="26"/>
  <c r="R118" i="26" s="1"/>
  <c r="Q117" i="26"/>
  <c r="Q107" i="26"/>
  <c r="Q108" i="26"/>
  <c r="Q106" i="26"/>
  <c r="Q105" i="26"/>
  <c r="Q96" i="26"/>
  <c r="Q91" i="26"/>
  <c r="Q89" i="26"/>
  <c r="Q88" i="26"/>
  <c r="Q80" i="26"/>
  <c r="Q79" i="26"/>
  <c r="Q78" i="26"/>
  <c r="Q77" i="26" s="1"/>
  <c r="Q72" i="26"/>
  <c r="Q68" i="26"/>
  <c r="Q60" i="26"/>
  <c r="Q56" i="26"/>
  <c r="R56" i="26" s="1"/>
  <c r="Q51" i="26"/>
  <c r="R51" i="26" s="1"/>
  <c r="Q50" i="26"/>
  <c r="Q37" i="26"/>
  <c r="R37" i="26" s="1"/>
  <c r="Q35" i="26"/>
  <c r="Q29" i="26"/>
  <c r="R29" i="26" s="1"/>
  <c r="Q28" i="26"/>
  <c r="R28" i="26" s="1"/>
  <c r="Q20" i="26"/>
  <c r="Q48" i="26" l="1"/>
  <c r="R50" i="26"/>
  <c r="R35" i="26"/>
  <c r="P75" i="26"/>
  <c r="P74" i="26" s="1"/>
  <c r="P53" i="26" s="1"/>
  <c r="O33" i="26"/>
  <c r="P154" i="26"/>
  <c r="P150" i="26"/>
  <c r="N142" i="26"/>
  <c r="O142" i="26"/>
  <c r="P142" i="26"/>
  <c r="P141" i="26" s="1"/>
  <c r="P130" i="26"/>
  <c r="P129" i="26"/>
  <c r="O87" i="26"/>
  <c r="P44" i="26"/>
  <c r="Q154" i="26"/>
  <c r="R155" i="26"/>
  <c r="R154" i="26" s="1"/>
  <c r="O154" i="26"/>
  <c r="N154" i="26"/>
  <c r="M154" i="26"/>
  <c r="L154" i="26"/>
  <c r="K154" i="26"/>
  <c r="J154" i="26"/>
  <c r="I154" i="26"/>
  <c r="H154" i="26"/>
  <c r="G154" i="26"/>
  <c r="H152" i="26"/>
  <c r="Q152" i="26" s="1"/>
  <c r="R152" i="26" s="1"/>
  <c r="O150" i="26"/>
  <c r="N150" i="26"/>
  <c r="M150" i="26"/>
  <c r="L150" i="26"/>
  <c r="K150" i="26"/>
  <c r="J150" i="26"/>
  <c r="I150" i="26"/>
  <c r="G150" i="26"/>
  <c r="L145" i="26"/>
  <c r="R144" i="26"/>
  <c r="H143" i="26"/>
  <c r="Q143" i="26" s="1"/>
  <c r="M142" i="26"/>
  <c r="L142" i="26"/>
  <c r="K142" i="26"/>
  <c r="J142" i="26"/>
  <c r="I142" i="26"/>
  <c r="G142" i="26"/>
  <c r="O138" i="26"/>
  <c r="O133" i="26" s="1"/>
  <c r="N138" i="26"/>
  <c r="M138" i="26"/>
  <c r="L138" i="26"/>
  <c r="K138" i="26"/>
  <c r="J138" i="26"/>
  <c r="I138" i="26"/>
  <c r="H138" i="26"/>
  <c r="N137" i="26"/>
  <c r="M137" i="26"/>
  <c r="L137" i="26"/>
  <c r="J137" i="26"/>
  <c r="J133" i="26" s="1"/>
  <c r="I137" i="26"/>
  <c r="Q137" i="26" s="1"/>
  <c r="I136" i="26"/>
  <c r="N135" i="26"/>
  <c r="M135" i="26"/>
  <c r="L135" i="26"/>
  <c r="K135" i="26"/>
  <c r="I135" i="26"/>
  <c r="R134" i="26"/>
  <c r="G133" i="26"/>
  <c r="R131" i="26"/>
  <c r="R130" i="26" s="1"/>
  <c r="R129" i="26" s="1"/>
  <c r="O130" i="26"/>
  <c r="O129" i="26" s="1"/>
  <c r="N130" i="26"/>
  <c r="M130" i="26"/>
  <c r="M129" i="26" s="1"/>
  <c r="L130" i="26"/>
  <c r="L129" i="26" s="1"/>
  <c r="K130" i="26"/>
  <c r="K129" i="26" s="1"/>
  <c r="J130" i="26"/>
  <c r="J129" i="26" s="1"/>
  <c r="I130" i="26"/>
  <c r="I129" i="26" s="1"/>
  <c r="H130" i="26"/>
  <c r="H129" i="26" s="1"/>
  <c r="G130" i="26"/>
  <c r="G129" i="26" s="1"/>
  <c r="N129" i="26"/>
  <c r="L127" i="26"/>
  <c r="Q127" i="26" s="1"/>
  <c r="R127" i="26" s="1"/>
  <c r="R126" i="26"/>
  <c r="R125" i="26"/>
  <c r="I124" i="26"/>
  <c r="Q124" i="26" s="1"/>
  <c r="O123" i="26"/>
  <c r="N123" i="26"/>
  <c r="M123" i="26"/>
  <c r="K123" i="26"/>
  <c r="J123" i="26"/>
  <c r="H123" i="26"/>
  <c r="G123" i="26"/>
  <c r="O120" i="26"/>
  <c r="N120" i="26"/>
  <c r="M120" i="26"/>
  <c r="L120" i="26"/>
  <c r="K120" i="26"/>
  <c r="J120" i="26"/>
  <c r="I120" i="26"/>
  <c r="H120" i="26"/>
  <c r="G117" i="26"/>
  <c r="H116" i="26"/>
  <c r="O113" i="26"/>
  <c r="N113" i="26"/>
  <c r="N111" i="26" s="1"/>
  <c r="M113" i="26"/>
  <c r="M111" i="26" s="1"/>
  <c r="L113" i="26"/>
  <c r="L111" i="26" s="1"/>
  <c r="K113" i="26"/>
  <c r="K111" i="26" s="1"/>
  <c r="J113" i="26"/>
  <c r="J111" i="26" s="1"/>
  <c r="I113" i="26"/>
  <c r="I111" i="26" s="1"/>
  <c r="H113" i="26"/>
  <c r="O111" i="26"/>
  <c r="G111" i="26"/>
  <c r="O109" i="26"/>
  <c r="O104" i="26" s="1"/>
  <c r="N109" i="26"/>
  <c r="N104" i="26" s="1"/>
  <c r="M109" i="26"/>
  <c r="L109" i="26"/>
  <c r="K109" i="26"/>
  <c r="K104" i="26" s="1"/>
  <c r="J109" i="26"/>
  <c r="J104" i="26" s="1"/>
  <c r="I109" i="26"/>
  <c r="I104" i="26" s="1"/>
  <c r="H109" i="26"/>
  <c r="R108" i="26"/>
  <c r="R107" i="26"/>
  <c r="R106" i="26"/>
  <c r="M104" i="26"/>
  <c r="L104" i="26"/>
  <c r="G104" i="26"/>
  <c r="M102" i="26"/>
  <c r="L102" i="26"/>
  <c r="I102" i="26"/>
  <c r="Q102" i="26" s="1"/>
  <c r="K101" i="26"/>
  <c r="H101" i="26"/>
  <c r="O100" i="26"/>
  <c r="M100" i="26"/>
  <c r="L100" i="26"/>
  <c r="K100" i="26"/>
  <c r="J100" i="26"/>
  <c r="J98" i="26" s="1"/>
  <c r="I100" i="26"/>
  <c r="O99" i="26"/>
  <c r="N99" i="26"/>
  <c r="N98" i="26" s="1"/>
  <c r="M99" i="26"/>
  <c r="G98" i="26"/>
  <c r="R96" i="26"/>
  <c r="O95" i="26"/>
  <c r="N95" i="26"/>
  <c r="M95" i="26"/>
  <c r="L95" i="26"/>
  <c r="K95" i="26"/>
  <c r="J95" i="26"/>
  <c r="I95" i="26"/>
  <c r="H95" i="26"/>
  <c r="Q95" i="26" s="1"/>
  <c r="O92" i="26"/>
  <c r="O86" i="26" s="1"/>
  <c r="N92" i="26"/>
  <c r="N86" i="26" s="1"/>
  <c r="M92" i="26"/>
  <c r="M86" i="26" s="1"/>
  <c r="L92" i="26"/>
  <c r="L87" i="26" s="1"/>
  <c r="K92" i="26"/>
  <c r="K87" i="26" s="1"/>
  <c r="J92" i="26"/>
  <c r="J87" i="26" s="1"/>
  <c r="I92" i="26"/>
  <c r="I87" i="26" s="1"/>
  <c r="H92" i="26"/>
  <c r="Q92" i="26" s="1"/>
  <c r="R92" i="26" s="1"/>
  <c r="R91" i="26"/>
  <c r="H90" i="26"/>
  <c r="Q90" i="26" s="1"/>
  <c r="Q87" i="26" s="1"/>
  <c r="R89" i="26"/>
  <c r="R88" i="26"/>
  <c r="G87" i="26"/>
  <c r="G86" i="26" s="1"/>
  <c r="K86" i="26"/>
  <c r="J86" i="26"/>
  <c r="I84" i="26"/>
  <c r="Q84" i="26" s="1"/>
  <c r="K83" i="26"/>
  <c r="O82" i="26"/>
  <c r="N82" i="26"/>
  <c r="M82" i="26"/>
  <c r="L82" i="26"/>
  <c r="J82" i="26"/>
  <c r="I82" i="26"/>
  <c r="H82" i="26"/>
  <c r="G82" i="26"/>
  <c r="R80" i="26"/>
  <c r="R79" i="26"/>
  <c r="R78" i="26"/>
  <c r="O77" i="26"/>
  <c r="N77" i="26"/>
  <c r="M77" i="26"/>
  <c r="L77" i="26"/>
  <c r="K77" i="26"/>
  <c r="J77" i="26"/>
  <c r="I77" i="26"/>
  <c r="H77" i="26"/>
  <c r="H74" i="26" s="1"/>
  <c r="G77" i="26"/>
  <c r="O75" i="26"/>
  <c r="O74" i="26" s="1"/>
  <c r="N75" i="26"/>
  <c r="M75" i="26"/>
  <c r="L75" i="26"/>
  <c r="K75" i="26"/>
  <c r="K74" i="26" s="1"/>
  <c r="J75" i="26"/>
  <c r="I75" i="26"/>
  <c r="G74" i="26"/>
  <c r="R72" i="26"/>
  <c r="O71" i="26"/>
  <c r="O70" i="26" s="1"/>
  <c r="N71" i="26"/>
  <c r="N70" i="26" s="1"/>
  <c r="M71" i="26"/>
  <c r="M70" i="26" s="1"/>
  <c r="L71" i="26"/>
  <c r="L70" i="26" s="1"/>
  <c r="K71" i="26"/>
  <c r="J71" i="26"/>
  <c r="J70" i="26" s="1"/>
  <c r="I71" i="26"/>
  <c r="I70" i="26" s="1"/>
  <c r="H71" i="26"/>
  <c r="K70" i="26"/>
  <c r="G70" i="26"/>
  <c r="R68" i="26"/>
  <c r="M67" i="26"/>
  <c r="M66" i="26" s="1"/>
  <c r="L67" i="26"/>
  <c r="L66" i="26" s="1"/>
  <c r="H67" i="26"/>
  <c r="N66" i="26"/>
  <c r="K66" i="26"/>
  <c r="J66" i="26"/>
  <c r="I66" i="26"/>
  <c r="G66" i="26"/>
  <c r="N64" i="26"/>
  <c r="N62" i="26" s="1"/>
  <c r="M64" i="26"/>
  <c r="J63" i="26"/>
  <c r="J62" i="26" s="1"/>
  <c r="I63" i="26"/>
  <c r="M62" i="26"/>
  <c r="L62" i="26"/>
  <c r="K62" i="26"/>
  <c r="H62" i="26"/>
  <c r="G62" i="26"/>
  <c r="N59" i="26"/>
  <c r="M59" i="26"/>
  <c r="L59" i="26"/>
  <c r="K59" i="26"/>
  <c r="J59" i="26"/>
  <c r="I59" i="26"/>
  <c r="H59" i="26"/>
  <c r="G59" i="26"/>
  <c r="G54" i="26" s="1"/>
  <c r="O57" i="26"/>
  <c r="N57" i="26"/>
  <c r="M57" i="26"/>
  <c r="L57" i="26"/>
  <c r="K57" i="26"/>
  <c r="J57" i="26"/>
  <c r="I57" i="26"/>
  <c r="H57" i="26"/>
  <c r="Q57" i="26" s="1"/>
  <c r="O55" i="26"/>
  <c r="O54" i="26" s="1"/>
  <c r="N55" i="26"/>
  <c r="M55" i="26"/>
  <c r="L55" i="26"/>
  <c r="K55" i="26"/>
  <c r="J55" i="26"/>
  <c r="I55" i="26"/>
  <c r="H55" i="26"/>
  <c r="Q55" i="26" s="1"/>
  <c r="R55" i="26" s="1"/>
  <c r="N48" i="26"/>
  <c r="M48" i="26"/>
  <c r="L48" i="26"/>
  <c r="K48" i="26"/>
  <c r="J48" i="26"/>
  <c r="I48" i="26"/>
  <c r="H48" i="26"/>
  <c r="G48" i="26"/>
  <c r="H46" i="26"/>
  <c r="H45" i="26"/>
  <c r="Q45" i="26" s="1"/>
  <c r="O44" i="26"/>
  <c r="N44" i="26"/>
  <c r="M44" i="26"/>
  <c r="L44" i="26"/>
  <c r="K44" i="26"/>
  <c r="J44" i="26"/>
  <c r="I44" i="26"/>
  <c r="G44" i="26"/>
  <c r="N41" i="26"/>
  <c r="L41" i="26"/>
  <c r="L39" i="26" s="1"/>
  <c r="L33" i="26" s="1"/>
  <c r="L32" i="26" s="1"/>
  <c r="K41" i="26"/>
  <c r="N40" i="26"/>
  <c r="Q40" i="26" s="1"/>
  <c r="O32" i="26"/>
  <c r="M39" i="26"/>
  <c r="J39" i="26"/>
  <c r="J33" i="26" s="1"/>
  <c r="J32" i="26" s="1"/>
  <c r="I39" i="26"/>
  <c r="I33" i="26" s="1"/>
  <c r="I32" i="26" s="1"/>
  <c r="H39" i="26"/>
  <c r="H33" i="26" s="1"/>
  <c r="H32" i="26" s="1"/>
  <c r="G39" i="26"/>
  <c r="G33" i="26" s="1"/>
  <c r="G32" i="26" s="1"/>
  <c r="M33" i="26"/>
  <c r="M32" i="26" s="1"/>
  <c r="Q30" i="26"/>
  <c r="M27" i="26"/>
  <c r="Q27" i="26" s="1"/>
  <c r="L26" i="26"/>
  <c r="K26" i="26"/>
  <c r="J26" i="26"/>
  <c r="I26" i="26"/>
  <c r="H26" i="26"/>
  <c r="G26" i="26"/>
  <c r="M23" i="26"/>
  <c r="L23" i="26"/>
  <c r="K23" i="26"/>
  <c r="J23" i="26"/>
  <c r="I23" i="26"/>
  <c r="H23" i="26"/>
  <c r="G23" i="26"/>
  <c r="O21" i="26"/>
  <c r="O18" i="26" s="1"/>
  <c r="N21" i="26"/>
  <c r="N18" i="26" s="1"/>
  <c r="M21" i="26"/>
  <c r="R19" i="26"/>
  <c r="L18" i="26"/>
  <c r="K18" i="26"/>
  <c r="J18" i="26"/>
  <c r="I18" i="26"/>
  <c r="H18" i="26"/>
  <c r="G18" i="26"/>
  <c r="O16" i="26"/>
  <c r="O15" i="26" s="1"/>
  <c r="N16" i="26"/>
  <c r="N15" i="26" s="1"/>
  <c r="M16" i="26"/>
  <c r="M15" i="26" s="1"/>
  <c r="L16" i="26"/>
  <c r="K16" i="26"/>
  <c r="K15" i="26" s="1"/>
  <c r="J16" i="26"/>
  <c r="J15" i="26" s="1"/>
  <c r="I16" i="26"/>
  <c r="I15" i="26" s="1"/>
  <c r="H16" i="26"/>
  <c r="G16" i="26"/>
  <c r="L15" i="26"/>
  <c r="H15" i="26"/>
  <c r="L12" i="26"/>
  <c r="I62" i="26" l="1"/>
  <c r="Q63" i="26"/>
  <c r="Q62" i="26" s="1"/>
  <c r="J74" i="26"/>
  <c r="N74" i="26"/>
  <c r="G94" i="26"/>
  <c r="Q100" i="26"/>
  <c r="R100" i="26" s="1"/>
  <c r="R117" i="26"/>
  <c r="R116" i="26" s="1"/>
  <c r="Q123" i="26"/>
  <c r="H133" i="26"/>
  <c r="Q138" i="26"/>
  <c r="Q145" i="26"/>
  <c r="Q142" i="26" s="1"/>
  <c r="Q141" i="26" s="1"/>
  <c r="N87" i="26"/>
  <c r="O141" i="26"/>
  <c r="Q39" i="26"/>
  <c r="Q33" i="26" s="1"/>
  <c r="Q32" i="26" s="1"/>
  <c r="R40" i="26"/>
  <c r="R39" i="26" s="1"/>
  <c r="R33" i="26" s="1"/>
  <c r="R32" i="26" s="1"/>
  <c r="K82" i="26"/>
  <c r="Q83" i="26"/>
  <c r="Q99" i="26"/>
  <c r="R99" i="26" s="1"/>
  <c r="R102" i="26"/>
  <c r="H104" i="26"/>
  <c r="Q109" i="26"/>
  <c r="Q135" i="26"/>
  <c r="P115" i="26"/>
  <c r="N141" i="26"/>
  <c r="H111" i="26"/>
  <c r="Q113" i="26"/>
  <c r="Q111" i="26" s="1"/>
  <c r="Q86" i="26"/>
  <c r="H70" i="26"/>
  <c r="Q71" i="26"/>
  <c r="Q70" i="26" s="1"/>
  <c r="Q16" i="26"/>
  <c r="Q15" i="26" s="1"/>
  <c r="M18" i="26"/>
  <c r="Q21" i="26"/>
  <c r="R27" i="26"/>
  <c r="R26" i="26" s="1"/>
  <c r="Q26" i="26"/>
  <c r="K39" i="26"/>
  <c r="K33" i="26" s="1"/>
  <c r="K32" i="26" s="1"/>
  <c r="K13" i="26" s="1"/>
  <c r="Q41" i="26"/>
  <c r="Q46" i="26"/>
  <c r="R46" i="26" s="1"/>
  <c r="O53" i="26"/>
  <c r="Q64" i="26"/>
  <c r="H66" i="26"/>
  <c r="Q67" i="26"/>
  <c r="Q66" i="26" s="1"/>
  <c r="I74" i="26"/>
  <c r="Q75" i="26"/>
  <c r="Q74" i="26" s="1"/>
  <c r="L74" i="26"/>
  <c r="Q82" i="26"/>
  <c r="H98" i="26"/>
  <c r="H94" i="26" s="1"/>
  <c r="Q101" i="26"/>
  <c r="Q136" i="26"/>
  <c r="R136" i="26" s="1"/>
  <c r="O115" i="26"/>
  <c r="P13" i="26"/>
  <c r="M74" i="26"/>
  <c r="J141" i="26"/>
  <c r="J115" i="26" s="1"/>
  <c r="J54" i="26"/>
  <c r="R64" i="26"/>
  <c r="H86" i="26"/>
  <c r="M26" i="26"/>
  <c r="M14" i="26" s="1"/>
  <c r="M13" i="26" s="1"/>
  <c r="K54" i="26"/>
  <c r="L86" i="26"/>
  <c r="K98" i="26"/>
  <c r="K94" i="26" s="1"/>
  <c r="R101" i="26"/>
  <c r="Q130" i="26"/>
  <c r="Q129" i="26" s="1"/>
  <c r="N133" i="26"/>
  <c r="K141" i="26"/>
  <c r="N115" i="26"/>
  <c r="J14" i="26"/>
  <c r="J13" i="26" s="1"/>
  <c r="N14" i="26"/>
  <c r="G53" i="26"/>
  <c r="K133" i="26"/>
  <c r="K115" i="26" s="1"/>
  <c r="K14" i="26"/>
  <c r="O14" i="26"/>
  <c r="O13" i="26" s="1"/>
  <c r="H44" i="26"/>
  <c r="N54" i="26"/>
  <c r="H142" i="26"/>
  <c r="H141" i="26" s="1"/>
  <c r="L141" i="26"/>
  <c r="Q44" i="26"/>
  <c r="R57" i="26"/>
  <c r="L98" i="26"/>
  <c r="L94" i="26" s="1"/>
  <c r="M98" i="26"/>
  <c r="M94" i="26" s="1"/>
  <c r="G116" i="26"/>
  <c r="R137" i="26"/>
  <c r="H14" i="26"/>
  <c r="H13" i="26" s="1"/>
  <c r="L14" i="26"/>
  <c r="L13" i="26" s="1"/>
  <c r="N39" i="26"/>
  <c r="N33" i="26" s="1"/>
  <c r="N32" i="26" s="1"/>
  <c r="R77" i="26"/>
  <c r="H87" i="26"/>
  <c r="M133" i="26"/>
  <c r="R138" i="26"/>
  <c r="L133" i="26"/>
  <c r="G141" i="26"/>
  <c r="R150" i="26"/>
  <c r="Q150" i="26"/>
  <c r="N53" i="26"/>
  <c r="I14" i="26"/>
  <c r="I13" i="26" s="1"/>
  <c r="Q59" i="26"/>
  <c r="Q54" i="26" s="1"/>
  <c r="R60" i="26"/>
  <c r="R59" i="26" s="1"/>
  <c r="I133" i="26"/>
  <c r="R41" i="26"/>
  <c r="H54" i="26"/>
  <c r="I86" i="26"/>
  <c r="I141" i="26"/>
  <c r="R45" i="26"/>
  <c r="I54" i="26"/>
  <c r="M54" i="26"/>
  <c r="R84" i="26"/>
  <c r="M87" i="26"/>
  <c r="O98" i="26"/>
  <c r="O94" i="26" s="1"/>
  <c r="R105" i="26"/>
  <c r="I123" i="26"/>
  <c r="L123" i="26"/>
  <c r="G143" i="26"/>
  <c r="R143" i="26" s="1"/>
  <c r="L54" i="26"/>
  <c r="R90" i="26"/>
  <c r="J94" i="26"/>
  <c r="N94" i="26"/>
  <c r="R124" i="26"/>
  <c r="M141" i="26"/>
  <c r="G15" i="26"/>
  <c r="G14" i="26" s="1"/>
  <c r="G13" i="26" s="1"/>
  <c r="R48" i="26"/>
  <c r="R75" i="26"/>
  <c r="R83" i="26"/>
  <c r="I98" i="26"/>
  <c r="I94" i="26" s="1"/>
  <c r="R121" i="26"/>
  <c r="R120" i="26" s="1"/>
  <c r="H53" i="26" l="1"/>
  <c r="R63" i="26"/>
  <c r="R62" i="26" s="1"/>
  <c r="R16" i="26"/>
  <c r="R15" i="26" s="1"/>
  <c r="Q133" i="26"/>
  <c r="Q115" i="26" s="1"/>
  <c r="R145" i="26"/>
  <c r="R142" i="26" s="1"/>
  <c r="R141" i="26" s="1"/>
  <c r="L115" i="26"/>
  <c r="R44" i="26"/>
  <c r="R43" i="26" s="1"/>
  <c r="G115" i="26"/>
  <c r="R54" i="26"/>
  <c r="H115" i="26"/>
  <c r="Q18" i="26"/>
  <c r="Q14" i="26" s="1"/>
  <c r="R21" i="26"/>
  <c r="R18" i="26" s="1"/>
  <c r="R109" i="26"/>
  <c r="R104" i="26" s="1"/>
  <c r="Q104" i="26"/>
  <c r="R74" i="26"/>
  <c r="P159" i="26"/>
  <c r="K53" i="26"/>
  <c r="K159" i="26" s="1"/>
  <c r="J53" i="26"/>
  <c r="J159" i="26" s="1"/>
  <c r="N13" i="26"/>
  <c r="N159" i="26" s="1"/>
  <c r="G159" i="26"/>
  <c r="R67" i="26"/>
  <c r="R66" i="26" s="1"/>
  <c r="O159" i="26"/>
  <c r="M115" i="26"/>
  <c r="H159" i="26"/>
  <c r="R71" i="26"/>
  <c r="R70" i="26" s="1"/>
  <c r="R98" i="26"/>
  <c r="M53" i="26"/>
  <c r="L53" i="26"/>
  <c r="L159" i="26" s="1"/>
  <c r="Q98" i="26"/>
  <c r="I53" i="26"/>
  <c r="R135" i="26"/>
  <c r="R133" i="26" s="1"/>
  <c r="R113" i="26"/>
  <c r="R111" i="26" s="1"/>
  <c r="R95" i="26"/>
  <c r="R123" i="26"/>
  <c r="I115" i="26"/>
  <c r="R87" i="26"/>
  <c r="M159" i="26"/>
  <c r="R82" i="26"/>
  <c r="Q94" i="26" l="1"/>
  <c r="Q53" i="26" s="1"/>
  <c r="R14" i="26"/>
  <c r="R13" i="26" s="1"/>
  <c r="I159" i="26"/>
  <c r="Q13" i="26"/>
  <c r="R115" i="26"/>
  <c r="R86" i="26"/>
  <c r="R94" i="26"/>
  <c r="R53" i="26" s="1"/>
  <c r="Q159" i="26" l="1"/>
  <c r="R159" i="26"/>
</calcChain>
</file>

<file path=xl/sharedStrings.xml><?xml version="1.0" encoding="utf-8"?>
<sst xmlns="http://schemas.openxmlformats.org/spreadsheetml/2006/main" count="163" uniqueCount="146">
  <si>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</si>
  <si>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</si>
  <si>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</si>
  <si>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</si>
  <si>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</si>
  <si>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</si>
  <si>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</si>
  <si>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</si>
  <si>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</si>
  <si>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</si>
  <si>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</si>
  <si>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</si>
  <si>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</si>
  <si>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</si>
  <si>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</si>
  <si>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</si>
  <si>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</si>
  <si>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</si>
  <si>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</si>
  <si>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</si>
  <si>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</si>
  <si>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</si>
  <si>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</si>
  <si>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</si>
  <si>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</si>
  <si>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</si>
  <si>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</si>
  <si>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</si>
  <si>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</si>
  <si>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</si>
  <si>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</si>
  <si>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</si>
  <si>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</si>
  <si>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</si>
  <si>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</si>
  <si>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</si>
  <si>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</si>
  <si>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</si>
  <si>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</si>
  <si>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</si>
  <si>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</si>
  <si>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</si>
  <si>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</si>
  <si>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</si>
  <si>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</si>
  <si>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</si>
  <si>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</si>
  <si>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</si>
  <si>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</si>
  <si>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</si>
  <si>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</si>
  <si>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</si>
  <si>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</si>
  <si>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</si>
  <si>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</si>
  <si>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</si>
  <si>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</si>
  <si>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</si>
  <si>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</si>
  <si>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</si>
  <si>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</si>
  <si>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</si>
  <si>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</si>
  <si>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</si>
  <si>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</si>
  <si>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</si>
  <si>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</si>
  <si>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</si>
  <si>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</si>
  <si>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</si>
  <si>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</si>
  <si>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</si>
  <si>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</si>
  <si>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</si>
  <si>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</si>
  <si>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</si>
  <si>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</si>
  <si>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</si>
  <si>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</si>
  <si>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</si>
  <si>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</si>
  <si>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</si>
  <si>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</si>
  <si>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</si>
  <si>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</si>
  <si>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</si>
  <si>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</si>
  <si>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</si>
  <si>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</si>
  <si>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</si>
  <si>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</si>
  <si>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</si>
  <si>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</si>
  <si>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</si>
  <si>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</si>
  <si>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</si>
  <si>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</si>
  <si>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</si>
  <si>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</si>
  <si>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</si>
  <si>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</si>
  <si>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</si>
  <si>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</si>
  <si>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</si>
  <si>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</si>
  <si>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</si>
  <si>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</si>
  <si>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</si>
  <si>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</si>
  <si>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</si>
  <si>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</si>
  <si>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</si>
  <si>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</si>
  <si>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</si>
  <si>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</si>
  <si>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</si>
  <si>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</si>
  <si>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</si>
  <si>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</si>
  <si>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</si>
  <si>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</si>
  <si>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</si>
  <si>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</si>
  <si>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</si>
  <si>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</si>
  <si>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TOTAL</t>
  </si>
  <si>
    <t>Ejecut. Enero,  2025</t>
  </si>
  <si>
    <t>Presupuesto Ene-Dic.2025</t>
  </si>
  <si>
    <t>Otros gastos Institucionales</t>
  </si>
  <si>
    <t>Compensación por Desempeño</t>
  </si>
  <si>
    <t>Prestaciones y Bonificaciones</t>
  </si>
  <si>
    <t>Bonos Escolar</t>
  </si>
  <si>
    <t>Vacaciones</t>
  </si>
  <si>
    <t>Ejecut. Febrero,  2025</t>
  </si>
  <si>
    <t>Ejecut. Marzo,  2025</t>
  </si>
  <si>
    <t>Jóse Ventura</t>
  </si>
  <si>
    <t>Ejecut. Abril,  2025</t>
  </si>
  <si>
    <t>Ejecut. Mayo,  2025</t>
  </si>
  <si>
    <t>Renovación de Pleno</t>
  </si>
  <si>
    <t>Ejecut. Junio,  2025</t>
  </si>
  <si>
    <t>Ejecut. Julio,  2025</t>
  </si>
  <si>
    <t>Ejecut. Agosto  2025</t>
  </si>
  <si>
    <t>Ejecut. Septiembre  2025</t>
  </si>
  <si>
    <t xml:space="preserve">         </t>
  </si>
  <si>
    <t>Consejo Económico y Social (CES)</t>
  </si>
  <si>
    <t xml:space="preserve">      Ejecución Presupuestal al 30 de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</si>
</sst>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  <font>
      <b/>
      <sz val="17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43" fontId="0" fillId="0" borderId="0" xfId="0" applyNumberFormat="1"/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" fontId="13" fillId="2" borderId="4" xfId="0" applyNumberFormat="1" applyFont="1" applyFill="1" applyBorder="1" applyAlignment="1">
      <alignment horizontal="center" wrapText="1"/>
    </xf>
    <xf numFmtId="0" fontId="14" fillId="0" borderId="4" xfId="0" applyFont="1" applyBorder="1"/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1" fontId="13" fillId="2" borderId="4" xfId="0" applyNumberFormat="1" applyFont="1" applyFill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41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41" fontId="13" fillId="0" borderId="5" xfId="0" applyNumberFormat="1" applyFont="1" applyBorder="1"/>
    <xf numFmtId="164" fontId="13" fillId="2" borderId="6" xfId="1" applyNumberFormat="1" applyFont="1" applyFill="1" applyBorder="1"/>
    <xf numFmtId="41" fontId="15" fillId="0" borderId="4" xfId="0" applyNumberFormat="1" applyFont="1" applyBorder="1"/>
    <xf numFmtId="164" fontId="15" fillId="2" borderId="4" xfId="1" applyNumberFormat="1" applyFont="1" applyFill="1" applyBorder="1"/>
    <xf numFmtId="0" fontId="12" fillId="0" borderId="6" xfId="0" applyFont="1" applyBorder="1" applyAlignment="1">
      <alignment wrapText="1"/>
    </xf>
    <xf numFmtId="41" fontId="13" fillId="0" borderId="8" xfId="0" applyNumberFormat="1" applyFont="1" applyBorder="1"/>
    <xf numFmtId="164" fontId="13" fillId="2" borderId="8" xfId="1" applyNumberFormat="1" applyFont="1" applyFill="1" applyBorder="1"/>
    <xf numFmtId="41" fontId="12" fillId="0" borderId="6" xfId="0" applyNumberFormat="1" applyFont="1" applyBorder="1"/>
    <xf numFmtId="164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4" fontId="13" fillId="2" borderId="5" xfId="1" applyNumberFormat="1" applyFont="1" applyFill="1" applyBorder="1"/>
    <xf numFmtId="0" fontId="15" fillId="0" borderId="6" xfId="0" applyFont="1" applyBorder="1" applyAlignment="1">
      <alignment wrapText="1"/>
    </xf>
    <xf numFmtId="41" fontId="15" fillId="0" borderId="8" xfId="0" applyNumberFormat="1" applyFont="1" applyBorder="1"/>
    <xf numFmtId="41" fontId="15" fillId="0" borderId="6" xfId="0" applyNumberFormat="1" applyFont="1" applyBorder="1"/>
    <xf numFmtId="164" fontId="15" fillId="2" borderId="8" xfId="1" applyNumberFormat="1" applyFont="1" applyFill="1" applyBorder="1"/>
    <xf numFmtId="164" fontId="15" fillId="2" borderId="6" xfId="1" applyNumberFormat="1" applyFont="1" applyFill="1" applyBorder="1"/>
    <xf numFmtId="41" fontId="15" fillId="0" borderId="5" xfId="0" applyNumberFormat="1" applyFont="1" applyBorder="1"/>
    <xf numFmtId="41" fontId="13" fillId="0" borderId="4" xfId="0" applyNumberFormat="1" applyFont="1" applyBorder="1"/>
    <xf numFmtId="164" fontId="13" fillId="2" borderId="4" xfId="1" applyNumberFormat="1" applyFont="1" applyFill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4" fontId="15" fillId="2" borderId="5" xfId="1" applyNumberFormat="1" applyFont="1" applyFill="1" applyBorder="1"/>
    <xf numFmtId="164" fontId="13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41" fontId="15" fillId="2" borderId="5" xfId="0" applyNumberFormat="1" applyFont="1" applyFill="1" applyBorder="1"/>
    <xf numFmtId="41" fontId="15" fillId="2" borderId="6" xfId="0" applyNumberFormat="1" applyFont="1" applyFill="1" applyBorder="1"/>
    <xf numFmtId="41" fontId="13" fillId="0" borderId="6" xfId="0" applyNumberFormat="1" applyFont="1" applyBorder="1"/>
    <xf numFmtId="0" fontId="15" fillId="2" borderId="6" xfId="0" applyFont="1" applyFill="1" applyBorder="1" applyAlignment="1">
      <alignment wrapText="1"/>
    </xf>
    <xf numFmtId="0" fontId="15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41" fontId="13" fillId="0" borderId="11" xfId="0" applyNumberFormat="1" applyFont="1" applyBorder="1"/>
    <xf numFmtId="164" fontId="12" fillId="2" borderId="4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0" fontId="15" fillId="0" borderId="12" xfId="0" applyFont="1" applyBorder="1"/>
    <xf numFmtId="0" fontId="12" fillId="0" borderId="5" xfId="0" applyFont="1" applyBorder="1" applyAlignment="1">
      <alignment horizontal="center"/>
    </xf>
    <xf numFmtId="0" fontId="12" fillId="0" borderId="10" xfId="0" applyFont="1" applyBorder="1"/>
    <xf numFmtId="0" fontId="12" fillId="0" borderId="5" xfId="0" applyFont="1" applyBorder="1"/>
    <xf numFmtId="0" fontId="13" fillId="0" borderId="1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/>
    <xf numFmtId="0" fontId="16" fillId="0" borderId="0" xfId="0" applyFont="1" applyAlignment="1">
      <alignment horizontal="center"/>
    </xf>
    <xf numFmtId="41" fontId="12" fillId="0" borderId="0" xfId="0" applyNumberFormat="1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0" fontId="16" fillId="0" borderId="14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6" fillId="0" borderId="13" xfId="0" applyFont="1" applyBorder="1" applyAlignment="1">
      <alignment horizontal="center"/>
    </xf>
    <xf numFmtId="41" fontId="16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43" fontId="10" fillId="2" borderId="0" xfId="1" applyFont="1" applyFill="1"/>
    <xf numFmtId="41" fontId="13" fillId="2" borderId="5" xfId="0" applyNumberFormat="1" applyFont="1" applyFill="1" applyBorder="1"/>
    <xf numFmtId="41" fontId="13" fillId="2" borderId="4" xfId="0" applyNumberFormat="1" applyFont="1" applyFill="1" applyBorder="1"/>
    <xf numFmtId="41" fontId="13" fillId="2" borderId="6" xfId="0" applyNumberFormat="1" applyFont="1" applyFill="1" applyBorder="1"/>
    <xf numFmtId="41" fontId="13" fillId="2" borderId="8" xfId="0" applyNumberFormat="1" applyFont="1" applyFill="1" applyBorder="1"/>
    <xf numFmtId="41" fontId="15" fillId="2" borderId="4" xfId="0" applyNumberFormat="1" applyFont="1" applyFill="1" applyBorder="1"/>
    <xf numFmtId="41" fontId="15" fillId="2" borderId="8" xfId="0" applyNumberFormat="1" applyFont="1" applyFill="1" applyBorder="1"/>
    <xf numFmtId="41" fontId="13" fillId="0" borderId="17" xfId="0" applyNumberFormat="1" applyFont="1" applyBorder="1"/>
    <xf numFmtId="164" fontId="13" fillId="2" borderId="16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1" fontId="5" fillId="2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/>
    </xf>
    <xf numFmtId="164" fontId="13" fillId="2" borderId="0" xfId="1" applyNumberFormat="1" applyFont="1" applyFill="1" applyBorder="1"/>
    <xf numFmtId="164" fontId="15" fillId="2" borderId="0" xfId="1" applyNumberFormat="1" applyFont="1" applyFill="1" applyBorder="1"/>
    <xf numFmtId="164" fontId="5" fillId="2" borderId="0" xfId="1" applyNumberFormat="1" applyFont="1" applyFill="1" applyBorder="1"/>
    <xf numFmtId="164" fontId="4" fillId="2" borderId="0" xfId="1" applyNumberFormat="1" applyFont="1" applyFill="1" applyBorder="1"/>
    <xf numFmtId="164" fontId="6" fillId="2" borderId="0" xfId="1" applyNumberFormat="1" applyFont="1" applyFill="1" applyBorder="1"/>
    <xf numFmtId="41" fontId="15" fillId="0" borderId="0" xfId="0" applyNumberFormat="1" applyFont="1" applyBorder="1"/>
    <xf numFmtId="41" fontId="15" fillId="2" borderId="0" xfId="0" applyNumberFormat="1" applyFont="1" applyFill="1" applyBorder="1"/>
    <xf numFmtId="41" fontId="13" fillId="2" borderId="0" xfId="0" applyNumberFormat="1" applyFont="1" applyFill="1" applyBorder="1"/>
    <xf numFmtId="164" fontId="12" fillId="2" borderId="0" xfId="1" applyNumberFormat="1" applyFont="1" applyFill="1" applyBorder="1"/>
    <xf numFmtId="1" fontId="13" fillId="2" borderId="0" xfId="0" applyNumberFormat="1" applyFont="1" applyFill="1" applyBorder="1"/>
    <xf numFmtId="1" fontId="13" fillId="2" borderId="9" xfId="0" applyNumberFormat="1" applyFont="1" applyFill="1" applyBorder="1" applyAlignment="1">
      <alignment horizontal="center"/>
    </xf>
    <xf numFmtId="164" fontId="12" fillId="2" borderId="7" xfId="1" applyNumberFormat="1" applyFont="1" applyFill="1" applyBorder="1"/>
    <xf numFmtId="164" fontId="15" fillId="2" borderId="7" xfId="1" applyNumberFormat="1" applyFont="1" applyFill="1" applyBorder="1"/>
    <xf numFmtId="164" fontId="15" fillId="2" borderId="9" xfId="1" applyNumberFormat="1" applyFont="1" applyFill="1" applyBorder="1"/>
    <xf numFmtId="164" fontId="13" fillId="2" borderId="7" xfId="1" applyNumberFormat="1" applyFont="1" applyFill="1" applyBorder="1"/>
    <xf numFmtId="1" fontId="13" fillId="2" borderId="3" xfId="0" applyNumberFormat="1" applyFont="1" applyFill="1" applyBorder="1" applyAlignment="1">
      <alignment horizontal="center" wrapText="1"/>
    </xf>
    <xf numFmtId="164" fontId="15" fillId="2" borderId="12" xfId="1" applyNumberFormat="1" applyFont="1" applyFill="1" applyBorder="1"/>
    <xf numFmtId="164" fontId="15" fillId="2" borderId="18" xfId="1" applyNumberFormat="1" applyFont="1" applyFill="1" applyBorder="1"/>
    <xf numFmtId="164" fontId="15" fillId="2" borderId="15" xfId="1" applyNumberFormat="1" applyFont="1" applyFill="1" applyBorder="1"/>
    <xf numFmtId="164" fontId="13" fillId="2" borderId="9" xfId="1" applyNumberFormat="1" applyFont="1" applyFill="1" applyBorder="1"/>
    <xf numFmtId="12" fontId="0" fillId="0" borderId="0" xfId="1" applyNumberFormat="1" applyFont="1"/>
    <xf numFmtId="164" fontId="0" fillId="0" borderId="0" xfId="0" applyNumberFormat="1"/>
    <xf numFmtId="41" fontId="13" fillId="2" borderId="11" xfId="0" applyNumberFormat="1" applyFont="1" applyFill="1" applyBorder="1"/>
    <xf numFmtId="164" fontId="0" fillId="2" borderId="0" xfId="0" applyNumberFormat="1" applyFill="1"/>
    <xf numFmtId="41" fontId="0" fillId="0" borderId="0" xfId="0" applyNumberFormat="1"/>
    <xf numFmtId="164" fontId="15" fillId="2" borderId="10" xfId="1" applyNumberFormat="1" applyFont="1" applyFill="1" applyBorder="1"/>
    <xf numFmtId="164" fontId="13" fillId="2" borderId="15" xfId="1" applyNumberFormat="1" applyFont="1" applyFill="1" applyBorder="1"/>
    <xf numFmtId="164" fontId="13" fillId="2" borderId="10" xfId="1" applyNumberFormat="1" applyFont="1" applyFill="1" applyBorder="1"/>
    <xf numFmtId="164" fontId="3" fillId="0" borderId="0" xfId="0" applyNumberFormat="1" applyFont="1"/>
    <xf numFmtId="0" fontId="13" fillId="0" borderId="1" xfId="0" applyFont="1" applyBorder="1"/>
    <xf numFmtId="1" fontId="13" fillId="2" borderId="5" xfId="0" applyNumberFormat="1" applyFont="1" applyFill="1" applyBorder="1" applyAlignment="1">
      <alignment horizontal="center" wrapText="1"/>
    </xf>
    <xf numFmtId="1" fontId="13" fillId="2" borderId="4" xfId="0" applyNumberFormat="1" applyFont="1" applyFill="1" applyBorder="1"/>
    <xf numFmtId="0" fontId="19" fillId="0" borderId="0" xfId="0" applyFont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3" fontId="13" fillId="2" borderId="9" xfId="1" applyNumberFormat="1" applyFont="1" applyFill="1" applyBorder="1"/>
    <xf numFmtId="43" fontId="15" fillId="2" borderId="7" xfId="1" applyNumberFormat="1" applyFont="1" applyFill="1" applyBorder="1"/>
    <xf numFmtId="43" fontId="15" fillId="2" borderId="9" xfId="1" applyNumberFormat="1" applyFont="1" applyFill="1" applyBorder="1"/>
    <xf numFmtId="43" fontId="15" fillId="2" borderId="8" xfId="1" applyNumberFormat="1" applyFont="1" applyFill="1" applyBorder="1"/>
    <xf numFmtId="43" fontId="15" fillId="2" borderId="6" xfId="1" applyNumberFormat="1" applyFont="1" applyFill="1" applyBorder="1"/>
    <xf numFmtId="1" fontId="13" fillId="2" borderId="0" xfId="0" applyNumberFormat="1" applyFont="1" applyFill="1" applyAlignment="1">
      <alignment horizontal="center" wrapText="1"/>
    </xf>
    <xf numFmtId="0" fontId="11" fillId="0" borderId="0" xfId="0" applyFont="1" applyAlignment="1"/>
    <xf numFmtId="43" fontId="1" fillId="0" borderId="0" xfId="1" applyFont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9"/>
  <sheetViews>
    <sheetView tabSelected="1" topLeftCell="A163" workbookViewId="0">
      <selection activeCell="J176" sqref="J176"/>
    </sheetView>
  </sheetViews>
  <sheetFormatPr baseColWidth="10" defaultColWidth="11.42578125" defaultRowHeight="15" x14ac:dyDescent="0.25"/>
  <cols>
    <col min="1" max="1" width="7.5703125" customWidth="1"/>
    <col min="2" max="2" width="6.28515625" customWidth="1"/>
    <col min="3" max="3" width="7.5703125" customWidth="1"/>
    <col min="4" max="5" width="5.7109375" customWidth="1"/>
    <col min="6" max="6" width="28" customWidth="1"/>
    <col min="7" max="7" width="14.7109375" customWidth="1"/>
    <col min="8" max="8" width="14.42578125" style="8" customWidth="1"/>
    <col min="9" max="9" width="13.42578125" style="8" customWidth="1"/>
    <col min="10" max="10" width="13.28515625" style="8" customWidth="1"/>
    <col min="11" max="11" width="13.5703125" style="8" customWidth="1"/>
    <col min="12" max="12" width="13.85546875" style="8" customWidth="1"/>
    <col min="13" max="13" width="15" style="8" customWidth="1"/>
    <col min="14" max="14" width="14.5703125" style="8" customWidth="1"/>
    <col min="15" max="15" width="14" style="8" customWidth="1"/>
    <col min="16" max="16" width="13.42578125" style="8" customWidth="1"/>
    <col min="17" max="17" width="15.5703125" style="8" customWidth="1"/>
    <col min="18" max="18" width="16.28515625" hidden="1" customWidth="1"/>
    <col min="19" max="19" width="16.140625" customWidth="1"/>
    <col min="20" max="20" width="11.5703125" bestFit="1" customWidth="1"/>
    <col min="223" max="223" width="4.85546875" bestFit="1" customWidth="1"/>
    <col min="224" max="224" width="5.85546875" bestFit="1" customWidth="1"/>
    <col min="225" max="225" width="7.42578125" bestFit="1" customWidth="1"/>
    <col min="226" max="226" width="8.140625" bestFit="1" customWidth="1"/>
    <col min="227" max="227" width="4.5703125" bestFit="1" customWidth="1"/>
    <col min="228" max="228" width="57.5703125" customWidth="1"/>
    <col min="229" max="229" width="14.28515625" customWidth="1"/>
    <col min="230" max="230" width="0.85546875" customWidth="1"/>
    <col min="231" max="231" width="16.5703125" bestFit="1" customWidth="1"/>
    <col min="232" max="232" width="13.42578125" bestFit="1" customWidth="1"/>
    <col min="479" max="479" width="4.85546875" bestFit="1" customWidth="1"/>
    <col min="480" max="480" width="5.85546875" bestFit="1" customWidth="1"/>
    <col min="481" max="481" width="7.42578125" bestFit="1" customWidth="1"/>
    <col min="482" max="482" width="8.140625" bestFit="1" customWidth="1"/>
    <col min="483" max="483" width="4.5703125" bestFit="1" customWidth="1"/>
    <col min="484" max="484" width="57.5703125" customWidth="1"/>
    <col min="485" max="485" width="14.28515625" customWidth="1"/>
    <col min="486" max="486" width="0.85546875" customWidth="1"/>
    <col min="487" max="487" width="16.5703125" bestFit="1" customWidth="1"/>
    <col min="488" max="488" width="13.42578125" bestFit="1" customWidth="1"/>
    <col min="735" max="735" width="4.85546875" bestFit="1" customWidth="1"/>
    <col min="736" max="736" width="5.85546875" bestFit="1" customWidth="1"/>
    <col min="737" max="737" width="7.42578125" bestFit="1" customWidth="1"/>
    <col min="738" max="738" width="8.140625" bestFit="1" customWidth="1"/>
    <col min="739" max="739" width="4.5703125" bestFit="1" customWidth="1"/>
    <col min="740" max="740" width="57.5703125" customWidth="1"/>
    <col min="741" max="741" width="14.28515625" customWidth="1"/>
    <col min="742" max="742" width="0.85546875" customWidth="1"/>
    <col min="743" max="743" width="16.5703125" bestFit="1" customWidth="1"/>
    <col min="744" max="744" width="13.42578125" bestFit="1" customWidth="1"/>
    <col min="991" max="991" width="4.85546875" bestFit="1" customWidth="1"/>
    <col min="992" max="992" width="5.85546875" bestFit="1" customWidth="1"/>
    <col min="993" max="993" width="7.42578125" bestFit="1" customWidth="1"/>
    <col min="994" max="994" width="8.140625" bestFit="1" customWidth="1"/>
    <col min="995" max="995" width="4.5703125" bestFit="1" customWidth="1"/>
    <col min="996" max="996" width="57.5703125" customWidth="1"/>
    <col min="997" max="997" width="14.28515625" customWidth="1"/>
    <col min="998" max="998" width="0.85546875" customWidth="1"/>
    <col min="999" max="999" width="16.5703125" bestFit="1" customWidth="1"/>
    <col min="1000" max="1000" width="13.42578125" bestFit="1" customWidth="1"/>
    <col min="1247" max="1247" width="4.85546875" bestFit="1" customWidth="1"/>
    <col min="1248" max="1248" width="5.85546875" bestFit="1" customWidth="1"/>
    <col min="1249" max="1249" width="7.42578125" bestFit="1" customWidth="1"/>
    <col min="1250" max="1250" width="8.140625" bestFit="1" customWidth="1"/>
    <col min="1251" max="1251" width="4.5703125" bestFit="1" customWidth="1"/>
    <col min="1252" max="1252" width="57.5703125" customWidth="1"/>
    <col min="1253" max="1253" width="14.28515625" customWidth="1"/>
    <col min="1254" max="1254" width="0.85546875" customWidth="1"/>
    <col min="1255" max="1255" width="16.5703125" bestFit="1" customWidth="1"/>
    <col min="1256" max="1256" width="13.42578125" bestFit="1" customWidth="1"/>
    <col min="1503" max="1503" width="4.85546875" bestFit="1" customWidth="1"/>
    <col min="1504" max="1504" width="5.85546875" bestFit="1" customWidth="1"/>
    <col min="1505" max="1505" width="7.42578125" bestFit="1" customWidth="1"/>
    <col min="1506" max="1506" width="8.140625" bestFit="1" customWidth="1"/>
    <col min="1507" max="1507" width="4.5703125" bestFit="1" customWidth="1"/>
    <col min="1508" max="1508" width="57.5703125" customWidth="1"/>
    <col min="1509" max="1509" width="14.28515625" customWidth="1"/>
    <col min="1510" max="1510" width="0.85546875" customWidth="1"/>
    <col min="1511" max="1511" width="16.5703125" bestFit="1" customWidth="1"/>
    <col min="1512" max="1512" width="13.42578125" bestFit="1" customWidth="1"/>
    <col min="1759" max="1759" width="4.85546875" bestFit="1" customWidth="1"/>
    <col min="1760" max="1760" width="5.85546875" bestFit="1" customWidth="1"/>
    <col min="1761" max="1761" width="7.42578125" bestFit="1" customWidth="1"/>
    <col min="1762" max="1762" width="8.140625" bestFit="1" customWidth="1"/>
    <col min="1763" max="1763" width="4.5703125" bestFit="1" customWidth="1"/>
    <col min="1764" max="1764" width="57.5703125" customWidth="1"/>
    <col min="1765" max="1765" width="14.28515625" customWidth="1"/>
    <col min="1766" max="1766" width="0.85546875" customWidth="1"/>
    <col min="1767" max="1767" width="16.5703125" bestFit="1" customWidth="1"/>
    <col min="1768" max="1768" width="13.42578125" bestFit="1" customWidth="1"/>
    <col min="2015" max="2015" width="4.85546875" bestFit="1" customWidth="1"/>
    <col min="2016" max="2016" width="5.85546875" bestFit="1" customWidth="1"/>
    <col min="2017" max="2017" width="7.42578125" bestFit="1" customWidth="1"/>
    <col min="2018" max="2018" width="8.140625" bestFit="1" customWidth="1"/>
    <col min="2019" max="2019" width="4.5703125" bestFit="1" customWidth="1"/>
    <col min="2020" max="2020" width="57.5703125" customWidth="1"/>
    <col min="2021" max="2021" width="14.28515625" customWidth="1"/>
    <col min="2022" max="2022" width="0.85546875" customWidth="1"/>
    <col min="2023" max="2023" width="16.5703125" bestFit="1" customWidth="1"/>
    <col min="2024" max="2024" width="13.42578125" bestFit="1" customWidth="1"/>
    <col min="2271" max="2271" width="4.85546875" bestFit="1" customWidth="1"/>
    <col min="2272" max="2272" width="5.85546875" bestFit="1" customWidth="1"/>
    <col min="2273" max="2273" width="7.42578125" bestFit="1" customWidth="1"/>
    <col min="2274" max="2274" width="8.140625" bestFit="1" customWidth="1"/>
    <col min="2275" max="2275" width="4.5703125" bestFit="1" customWidth="1"/>
    <col min="2276" max="2276" width="57.5703125" customWidth="1"/>
    <col min="2277" max="2277" width="14.28515625" customWidth="1"/>
    <col min="2278" max="2278" width="0.85546875" customWidth="1"/>
    <col min="2279" max="2279" width="16.5703125" bestFit="1" customWidth="1"/>
    <col min="2280" max="2280" width="13.42578125" bestFit="1" customWidth="1"/>
    <col min="2527" max="2527" width="4.85546875" bestFit="1" customWidth="1"/>
    <col min="2528" max="2528" width="5.85546875" bestFit="1" customWidth="1"/>
    <col min="2529" max="2529" width="7.42578125" bestFit="1" customWidth="1"/>
    <col min="2530" max="2530" width="8.140625" bestFit="1" customWidth="1"/>
    <col min="2531" max="2531" width="4.5703125" bestFit="1" customWidth="1"/>
    <col min="2532" max="2532" width="57.5703125" customWidth="1"/>
    <col min="2533" max="2533" width="14.28515625" customWidth="1"/>
    <col min="2534" max="2534" width="0.85546875" customWidth="1"/>
    <col min="2535" max="2535" width="16.5703125" bestFit="1" customWidth="1"/>
    <col min="2536" max="2536" width="13.42578125" bestFit="1" customWidth="1"/>
    <col min="2783" max="2783" width="4.85546875" bestFit="1" customWidth="1"/>
    <col min="2784" max="2784" width="5.85546875" bestFit="1" customWidth="1"/>
    <col min="2785" max="2785" width="7.42578125" bestFit="1" customWidth="1"/>
    <col min="2786" max="2786" width="8.140625" bestFit="1" customWidth="1"/>
    <col min="2787" max="2787" width="4.5703125" bestFit="1" customWidth="1"/>
    <col min="2788" max="2788" width="57.5703125" customWidth="1"/>
    <col min="2789" max="2789" width="14.28515625" customWidth="1"/>
    <col min="2790" max="2790" width="0.85546875" customWidth="1"/>
    <col min="2791" max="2791" width="16.5703125" bestFit="1" customWidth="1"/>
    <col min="2792" max="2792" width="13.42578125" bestFit="1" customWidth="1"/>
    <col min="3039" max="3039" width="4.85546875" bestFit="1" customWidth="1"/>
    <col min="3040" max="3040" width="5.85546875" bestFit="1" customWidth="1"/>
    <col min="3041" max="3041" width="7.42578125" bestFit="1" customWidth="1"/>
    <col min="3042" max="3042" width="8.140625" bestFit="1" customWidth="1"/>
    <col min="3043" max="3043" width="4.5703125" bestFit="1" customWidth="1"/>
    <col min="3044" max="3044" width="57.5703125" customWidth="1"/>
    <col min="3045" max="3045" width="14.28515625" customWidth="1"/>
    <col min="3046" max="3046" width="0.85546875" customWidth="1"/>
    <col min="3047" max="3047" width="16.5703125" bestFit="1" customWidth="1"/>
    <col min="3048" max="3048" width="13.42578125" bestFit="1" customWidth="1"/>
    <col min="3295" max="3295" width="4.85546875" bestFit="1" customWidth="1"/>
    <col min="3296" max="3296" width="5.85546875" bestFit="1" customWidth="1"/>
    <col min="3297" max="3297" width="7.42578125" bestFit="1" customWidth="1"/>
    <col min="3298" max="3298" width="8.140625" bestFit="1" customWidth="1"/>
    <col min="3299" max="3299" width="4.5703125" bestFit="1" customWidth="1"/>
    <col min="3300" max="3300" width="57.5703125" customWidth="1"/>
    <col min="3301" max="3301" width="14.28515625" customWidth="1"/>
    <col min="3302" max="3302" width="0.85546875" customWidth="1"/>
    <col min="3303" max="3303" width="16.5703125" bestFit="1" customWidth="1"/>
    <col min="3304" max="3304" width="13.42578125" bestFit="1" customWidth="1"/>
    <col min="3551" max="3551" width="4.85546875" bestFit="1" customWidth="1"/>
    <col min="3552" max="3552" width="5.85546875" bestFit="1" customWidth="1"/>
    <col min="3553" max="3553" width="7.42578125" bestFit="1" customWidth="1"/>
    <col min="3554" max="3554" width="8.140625" bestFit="1" customWidth="1"/>
    <col min="3555" max="3555" width="4.5703125" bestFit="1" customWidth="1"/>
    <col min="3556" max="3556" width="57.5703125" customWidth="1"/>
    <col min="3557" max="3557" width="14.28515625" customWidth="1"/>
    <col min="3558" max="3558" width="0.85546875" customWidth="1"/>
    <col min="3559" max="3559" width="16.5703125" bestFit="1" customWidth="1"/>
    <col min="3560" max="3560" width="13.42578125" bestFit="1" customWidth="1"/>
    <col min="3807" max="3807" width="4.85546875" bestFit="1" customWidth="1"/>
    <col min="3808" max="3808" width="5.85546875" bestFit="1" customWidth="1"/>
    <col min="3809" max="3809" width="7.42578125" bestFit="1" customWidth="1"/>
    <col min="3810" max="3810" width="8.140625" bestFit="1" customWidth="1"/>
    <col min="3811" max="3811" width="4.5703125" bestFit="1" customWidth="1"/>
    <col min="3812" max="3812" width="57.5703125" customWidth="1"/>
    <col min="3813" max="3813" width="14.28515625" customWidth="1"/>
    <col min="3814" max="3814" width="0.85546875" customWidth="1"/>
    <col min="3815" max="3815" width="16.5703125" bestFit="1" customWidth="1"/>
    <col min="3816" max="3816" width="13.42578125" bestFit="1" customWidth="1"/>
    <col min="4063" max="4063" width="4.85546875" bestFit="1" customWidth="1"/>
    <col min="4064" max="4064" width="5.85546875" bestFit="1" customWidth="1"/>
    <col min="4065" max="4065" width="7.42578125" bestFit="1" customWidth="1"/>
    <col min="4066" max="4066" width="8.140625" bestFit="1" customWidth="1"/>
    <col min="4067" max="4067" width="4.5703125" bestFit="1" customWidth="1"/>
    <col min="4068" max="4068" width="57.5703125" customWidth="1"/>
    <col min="4069" max="4069" width="14.28515625" customWidth="1"/>
    <col min="4070" max="4070" width="0.85546875" customWidth="1"/>
    <col min="4071" max="4071" width="16.5703125" bestFit="1" customWidth="1"/>
    <col min="4072" max="4072" width="13.42578125" bestFit="1" customWidth="1"/>
    <col min="4319" max="4319" width="4.85546875" bestFit="1" customWidth="1"/>
    <col min="4320" max="4320" width="5.85546875" bestFit="1" customWidth="1"/>
    <col min="4321" max="4321" width="7.42578125" bestFit="1" customWidth="1"/>
    <col min="4322" max="4322" width="8.140625" bestFit="1" customWidth="1"/>
    <col min="4323" max="4323" width="4.5703125" bestFit="1" customWidth="1"/>
    <col min="4324" max="4324" width="57.5703125" customWidth="1"/>
    <col min="4325" max="4325" width="14.28515625" customWidth="1"/>
    <col min="4326" max="4326" width="0.85546875" customWidth="1"/>
    <col min="4327" max="4327" width="16.5703125" bestFit="1" customWidth="1"/>
    <col min="4328" max="4328" width="13.42578125" bestFit="1" customWidth="1"/>
    <col min="4575" max="4575" width="4.85546875" bestFit="1" customWidth="1"/>
    <col min="4576" max="4576" width="5.85546875" bestFit="1" customWidth="1"/>
    <col min="4577" max="4577" width="7.42578125" bestFit="1" customWidth="1"/>
    <col min="4578" max="4578" width="8.140625" bestFit="1" customWidth="1"/>
    <col min="4579" max="4579" width="4.5703125" bestFit="1" customWidth="1"/>
    <col min="4580" max="4580" width="57.5703125" customWidth="1"/>
    <col min="4581" max="4581" width="14.28515625" customWidth="1"/>
    <col min="4582" max="4582" width="0.85546875" customWidth="1"/>
    <col min="4583" max="4583" width="16.5703125" bestFit="1" customWidth="1"/>
    <col min="4584" max="4584" width="13.42578125" bestFit="1" customWidth="1"/>
    <col min="4831" max="4831" width="4.85546875" bestFit="1" customWidth="1"/>
    <col min="4832" max="4832" width="5.85546875" bestFit="1" customWidth="1"/>
    <col min="4833" max="4833" width="7.42578125" bestFit="1" customWidth="1"/>
    <col min="4834" max="4834" width="8.140625" bestFit="1" customWidth="1"/>
    <col min="4835" max="4835" width="4.5703125" bestFit="1" customWidth="1"/>
    <col min="4836" max="4836" width="57.5703125" customWidth="1"/>
    <col min="4837" max="4837" width="14.28515625" customWidth="1"/>
    <col min="4838" max="4838" width="0.85546875" customWidth="1"/>
    <col min="4839" max="4839" width="16.5703125" bestFit="1" customWidth="1"/>
    <col min="4840" max="4840" width="13.42578125" bestFit="1" customWidth="1"/>
    <col min="5087" max="5087" width="4.85546875" bestFit="1" customWidth="1"/>
    <col min="5088" max="5088" width="5.85546875" bestFit="1" customWidth="1"/>
    <col min="5089" max="5089" width="7.42578125" bestFit="1" customWidth="1"/>
    <col min="5090" max="5090" width="8.140625" bestFit="1" customWidth="1"/>
    <col min="5091" max="5091" width="4.5703125" bestFit="1" customWidth="1"/>
    <col min="5092" max="5092" width="57.5703125" customWidth="1"/>
    <col min="5093" max="5093" width="14.28515625" customWidth="1"/>
    <col min="5094" max="5094" width="0.85546875" customWidth="1"/>
    <col min="5095" max="5095" width="16.5703125" bestFit="1" customWidth="1"/>
    <col min="5096" max="5096" width="13.42578125" bestFit="1" customWidth="1"/>
    <col min="5343" max="5343" width="4.85546875" bestFit="1" customWidth="1"/>
    <col min="5344" max="5344" width="5.85546875" bestFit="1" customWidth="1"/>
    <col min="5345" max="5345" width="7.42578125" bestFit="1" customWidth="1"/>
    <col min="5346" max="5346" width="8.140625" bestFit="1" customWidth="1"/>
    <col min="5347" max="5347" width="4.5703125" bestFit="1" customWidth="1"/>
    <col min="5348" max="5348" width="57.5703125" customWidth="1"/>
    <col min="5349" max="5349" width="14.28515625" customWidth="1"/>
    <col min="5350" max="5350" width="0.85546875" customWidth="1"/>
    <col min="5351" max="5351" width="16.5703125" bestFit="1" customWidth="1"/>
    <col min="5352" max="5352" width="13.42578125" bestFit="1" customWidth="1"/>
    <col min="5599" max="5599" width="4.85546875" bestFit="1" customWidth="1"/>
    <col min="5600" max="5600" width="5.85546875" bestFit="1" customWidth="1"/>
    <col min="5601" max="5601" width="7.42578125" bestFit="1" customWidth="1"/>
    <col min="5602" max="5602" width="8.140625" bestFit="1" customWidth="1"/>
    <col min="5603" max="5603" width="4.5703125" bestFit="1" customWidth="1"/>
    <col min="5604" max="5604" width="57.5703125" customWidth="1"/>
    <col min="5605" max="5605" width="14.28515625" customWidth="1"/>
    <col min="5606" max="5606" width="0.85546875" customWidth="1"/>
    <col min="5607" max="5607" width="16.5703125" bestFit="1" customWidth="1"/>
    <col min="5608" max="5608" width="13.42578125" bestFit="1" customWidth="1"/>
    <col min="5855" max="5855" width="4.85546875" bestFit="1" customWidth="1"/>
    <col min="5856" max="5856" width="5.85546875" bestFit="1" customWidth="1"/>
    <col min="5857" max="5857" width="7.42578125" bestFit="1" customWidth="1"/>
    <col min="5858" max="5858" width="8.140625" bestFit="1" customWidth="1"/>
    <col min="5859" max="5859" width="4.5703125" bestFit="1" customWidth="1"/>
    <col min="5860" max="5860" width="57.5703125" customWidth="1"/>
    <col min="5861" max="5861" width="14.28515625" customWidth="1"/>
    <col min="5862" max="5862" width="0.85546875" customWidth="1"/>
    <col min="5863" max="5863" width="16.5703125" bestFit="1" customWidth="1"/>
    <col min="5864" max="5864" width="13.42578125" bestFit="1" customWidth="1"/>
    <col min="6111" max="6111" width="4.85546875" bestFit="1" customWidth="1"/>
    <col min="6112" max="6112" width="5.85546875" bestFit="1" customWidth="1"/>
    <col min="6113" max="6113" width="7.42578125" bestFit="1" customWidth="1"/>
    <col min="6114" max="6114" width="8.140625" bestFit="1" customWidth="1"/>
    <col min="6115" max="6115" width="4.5703125" bestFit="1" customWidth="1"/>
    <col min="6116" max="6116" width="57.5703125" customWidth="1"/>
    <col min="6117" max="6117" width="14.28515625" customWidth="1"/>
    <col min="6118" max="6118" width="0.85546875" customWidth="1"/>
    <col min="6119" max="6119" width="16.5703125" bestFit="1" customWidth="1"/>
    <col min="6120" max="6120" width="13.42578125" bestFit="1" customWidth="1"/>
    <col min="6367" max="6367" width="4.85546875" bestFit="1" customWidth="1"/>
    <col min="6368" max="6368" width="5.85546875" bestFit="1" customWidth="1"/>
    <col min="6369" max="6369" width="7.42578125" bestFit="1" customWidth="1"/>
    <col min="6370" max="6370" width="8.140625" bestFit="1" customWidth="1"/>
    <col min="6371" max="6371" width="4.5703125" bestFit="1" customWidth="1"/>
    <col min="6372" max="6372" width="57.5703125" customWidth="1"/>
    <col min="6373" max="6373" width="14.28515625" customWidth="1"/>
    <col min="6374" max="6374" width="0.85546875" customWidth="1"/>
    <col min="6375" max="6375" width="16.5703125" bestFit="1" customWidth="1"/>
    <col min="6376" max="6376" width="13.42578125" bestFit="1" customWidth="1"/>
    <col min="6623" max="6623" width="4.85546875" bestFit="1" customWidth="1"/>
    <col min="6624" max="6624" width="5.85546875" bestFit="1" customWidth="1"/>
    <col min="6625" max="6625" width="7.42578125" bestFit="1" customWidth="1"/>
    <col min="6626" max="6626" width="8.140625" bestFit="1" customWidth="1"/>
    <col min="6627" max="6627" width="4.5703125" bestFit="1" customWidth="1"/>
    <col min="6628" max="6628" width="57.5703125" customWidth="1"/>
    <col min="6629" max="6629" width="14.28515625" customWidth="1"/>
    <col min="6630" max="6630" width="0.85546875" customWidth="1"/>
    <col min="6631" max="6631" width="16.5703125" bestFit="1" customWidth="1"/>
    <col min="6632" max="6632" width="13.42578125" bestFit="1" customWidth="1"/>
    <col min="6879" max="6879" width="4.85546875" bestFit="1" customWidth="1"/>
    <col min="6880" max="6880" width="5.85546875" bestFit="1" customWidth="1"/>
    <col min="6881" max="6881" width="7.42578125" bestFit="1" customWidth="1"/>
    <col min="6882" max="6882" width="8.140625" bestFit="1" customWidth="1"/>
    <col min="6883" max="6883" width="4.5703125" bestFit="1" customWidth="1"/>
    <col min="6884" max="6884" width="57.5703125" customWidth="1"/>
    <col min="6885" max="6885" width="14.28515625" customWidth="1"/>
    <col min="6886" max="6886" width="0.85546875" customWidth="1"/>
    <col min="6887" max="6887" width="16.5703125" bestFit="1" customWidth="1"/>
    <col min="6888" max="6888" width="13.42578125" bestFit="1" customWidth="1"/>
    <col min="7135" max="7135" width="4.85546875" bestFit="1" customWidth="1"/>
    <col min="7136" max="7136" width="5.85546875" bestFit="1" customWidth="1"/>
    <col min="7137" max="7137" width="7.42578125" bestFit="1" customWidth="1"/>
    <col min="7138" max="7138" width="8.140625" bestFit="1" customWidth="1"/>
    <col min="7139" max="7139" width="4.5703125" bestFit="1" customWidth="1"/>
    <col min="7140" max="7140" width="57.5703125" customWidth="1"/>
    <col min="7141" max="7141" width="14.28515625" customWidth="1"/>
    <col min="7142" max="7142" width="0.85546875" customWidth="1"/>
    <col min="7143" max="7143" width="16.5703125" bestFit="1" customWidth="1"/>
    <col min="7144" max="7144" width="13.42578125" bestFit="1" customWidth="1"/>
    <col min="7391" max="7391" width="4.85546875" bestFit="1" customWidth="1"/>
    <col min="7392" max="7392" width="5.85546875" bestFit="1" customWidth="1"/>
    <col min="7393" max="7393" width="7.42578125" bestFit="1" customWidth="1"/>
    <col min="7394" max="7394" width="8.140625" bestFit="1" customWidth="1"/>
    <col min="7395" max="7395" width="4.5703125" bestFit="1" customWidth="1"/>
    <col min="7396" max="7396" width="57.5703125" customWidth="1"/>
    <col min="7397" max="7397" width="14.28515625" customWidth="1"/>
    <col min="7398" max="7398" width="0.85546875" customWidth="1"/>
    <col min="7399" max="7399" width="16.5703125" bestFit="1" customWidth="1"/>
    <col min="7400" max="7400" width="13.42578125" bestFit="1" customWidth="1"/>
    <col min="7647" max="7647" width="4.85546875" bestFit="1" customWidth="1"/>
    <col min="7648" max="7648" width="5.85546875" bestFit="1" customWidth="1"/>
    <col min="7649" max="7649" width="7.42578125" bestFit="1" customWidth="1"/>
    <col min="7650" max="7650" width="8.140625" bestFit="1" customWidth="1"/>
    <col min="7651" max="7651" width="4.5703125" bestFit="1" customWidth="1"/>
    <col min="7652" max="7652" width="57.5703125" customWidth="1"/>
    <col min="7653" max="7653" width="14.28515625" customWidth="1"/>
    <col min="7654" max="7654" width="0.85546875" customWidth="1"/>
    <col min="7655" max="7655" width="16.5703125" bestFit="1" customWidth="1"/>
    <col min="7656" max="7656" width="13.42578125" bestFit="1" customWidth="1"/>
    <col min="7903" max="7903" width="4.85546875" bestFit="1" customWidth="1"/>
    <col min="7904" max="7904" width="5.85546875" bestFit="1" customWidth="1"/>
    <col min="7905" max="7905" width="7.42578125" bestFit="1" customWidth="1"/>
    <col min="7906" max="7906" width="8.140625" bestFit="1" customWidth="1"/>
    <col min="7907" max="7907" width="4.5703125" bestFit="1" customWidth="1"/>
    <col min="7908" max="7908" width="57.5703125" customWidth="1"/>
    <col min="7909" max="7909" width="14.28515625" customWidth="1"/>
    <col min="7910" max="7910" width="0.85546875" customWidth="1"/>
    <col min="7911" max="7911" width="16.5703125" bestFit="1" customWidth="1"/>
    <col min="7912" max="7912" width="13.42578125" bestFit="1" customWidth="1"/>
    <col min="8159" max="8159" width="4.85546875" bestFit="1" customWidth="1"/>
    <col min="8160" max="8160" width="5.85546875" bestFit="1" customWidth="1"/>
    <col min="8161" max="8161" width="7.42578125" bestFit="1" customWidth="1"/>
    <col min="8162" max="8162" width="8.140625" bestFit="1" customWidth="1"/>
    <col min="8163" max="8163" width="4.5703125" bestFit="1" customWidth="1"/>
    <col min="8164" max="8164" width="57.5703125" customWidth="1"/>
    <col min="8165" max="8165" width="14.28515625" customWidth="1"/>
    <col min="8166" max="8166" width="0.85546875" customWidth="1"/>
    <col min="8167" max="8167" width="16.5703125" bestFit="1" customWidth="1"/>
    <col min="8168" max="8168" width="13.42578125" bestFit="1" customWidth="1"/>
    <col min="8415" max="8415" width="4.85546875" bestFit="1" customWidth="1"/>
    <col min="8416" max="8416" width="5.85546875" bestFit="1" customWidth="1"/>
    <col min="8417" max="8417" width="7.42578125" bestFit="1" customWidth="1"/>
    <col min="8418" max="8418" width="8.140625" bestFit="1" customWidth="1"/>
    <col min="8419" max="8419" width="4.5703125" bestFit="1" customWidth="1"/>
    <col min="8420" max="8420" width="57.5703125" customWidth="1"/>
    <col min="8421" max="8421" width="14.28515625" customWidth="1"/>
    <col min="8422" max="8422" width="0.85546875" customWidth="1"/>
    <col min="8423" max="8423" width="16.5703125" bestFit="1" customWidth="1"/>
    <col min="8424" max="8424" width="13.42578125" bestFit="1" customWidth="1"/>
    <col min="8671" max="8671" width="4.85546875" bestFit="1" customWidth="1"/>
    <col min="8672" max="8672" width="5.85546875" bestFit="1" customWidth="1"/>
    <col min="8673" max="8673" width="7.42578125" bestFit="1" customWidth="1"/>
    <col min="8674" max="8674" width="8.140625" bestFit="1" customWidth="1"/>
    <col min="8675" max="8675" width="4.5703125" bestFit="1" customWidth="1"/>
    <col min="8676" max="8676" width="57.5703125" customWidth="1"/>
    <col min="8677" max="8677" width="14.28515625" customWidth="1"/>
    <col min="8678" max="8678" width="0.85546875" customWidth="1"/>
    <col min="8679" max="8679" width="16.5703125" bestFit="1" customWidth="1"/>
    <col min="8680" max="8680" width="13.42578125" bestFit="1" customWidth="1"/>
    <col min="8927" max="8927" width="4.85546875" bestFit="1" customWidth="1"/>
    <col min="8928" max="8928" width="5.85546875" bestFit="1" customWidth="1"/>
    <col min="8929" max="8929" width="7.42578125" bestFit="1" customWidth="1"/>
    <col min="8930" max="8930" width="8.140625" bestFit="1" customWidth="1"/>
    <col min="8931" max="8931" width="4.5703125" bestFit="1" customWidth="1"/>
    <col min="8932" max="8932" width="57.5703125" customWidth="1"/>
    <col min="8933" max="8933" width="14.28515625" customWidth="1"/>
    <col min="8934" max="8934" width="0.85546875" customWidth="1"/>
    <col min="8935" max="8935" width="16.5703125" bestFit="1" customWidth="1"/>
    <col min="8936" max="8936" width="13.42578125" bestFit="1" customWidth="1"/>
    <col min="9183" max="9183" width="4.85546875" bestFit="1" customWidth="1"/>
    <col min="9184" max="9184" width="5.85546875" bestFit="1" customWidth="1"/>
    <col min="9185" max="9185" width="7.42578125" bestFit="1" customWidth="1"/>
    <col min="9186" max="9186" width="8.140625" bestFit="1" customWidth="1"/>
    <col min="9187" max="9187" width="4.5703125" bestFit="1" customWidth="1"/>
    <col min="9188" max="9188" width="57.5703125" customWidth="1"/>
    <col min="9189" max="9189" width="14.28515625" customWidth="1"/>
    <col min="9190" max="9190" width="0.85546875" customWidth="1"/>
    <col min="9191" max="9191" width="16.5703125" bestFit="1" customWidth="1"/>
    <col min="9192" max="9192" width="13.42578125" bestFit="1" customWidth="1"/>
    <col min="9439" max="9439" width="4.85546875" bestFit="1" customWidth="1"/>
    <col min="9440" max="9440" width="5.85546875" bestFit="1" customWidth="1"/>
    <col min="9441" max="9441" width="7.42578125" bestFit="1" customWidth="1"/>
    <col min="9442" max="9442" width="8.140625" bestFit="1" customWidth="1"/>
    <col min="9443" max="9443" width="4.5703125" bestFit="1" customWidth="1"/>
    <col min="9444" max="9444" width="57.5703125" customWidth="1"/>
    <col min="9445" max="9445" width="14.28515625" customWidth="1"/>
    <col min="9446" max="9446" width="0.85546875" customWidth="1"/>
    <col min="9447" max="9447" width="16.5703125" bestFit="1" customWidth="1"/>
    <col min="9448" max="9448" width="13.42578125" bestFit="1" customWidth="1"/>
    <col min="9695" max="9695" width="4.85546875" bestFit="1" customWidth="1"/>
    <col min="9696" max="9696" width="5.85546875" bestFit="1" customWidth="1"/>
    <col min="9697" max="9697" width="7.42578125" bestFit="1" customWidth="1"/>
    <col min="9698" max="9698" width="8.140625" bestFit="1" customWidth="1"/>
    <col min="9699" max="9699" width="4.5703125" bestFit="1" customWidth="1"/>
    <col min="9700" max="9700" width="57.5703125" customWidth="1"/>
    <col min="9701" max="9701" width="14.28515625" customWidth="1"/>
    <col min="9702" max="9702" width="0.85546875" customWidth="1"/>
    <col min="9703" max="9703" width="16.5703125" bestFit="1" customWidth="1"/>
    <col min="9704" max="9704" width="13.42578125" bestFit="1" customWidth="1"/>
    <col min="9951" max="9951" width="4.85546875" bestFit="1" customWidth="1"/>
    <col min="9952" max="9952" width="5.85546875" bestFit="1" customWidth="1"/>
    <col min="9953" max="9953" width="7.42578125" bestFit="1" customWidth="1"/>
    <col min="9954" max="9954" width="8.140625" bestFit="1" customWidth="1"/>
    <col min="9955" max="9955" width="4.5703125" bestFit="1" customWidth="1"/>
    <col min="9956" max="9956" width="57.5703125" customWidth="1"/>
    <col min="9957" max="9957" width="14.28515625" customWidth="1"/>
    <col min="9958" max="9958" width="0.85546875" customWidth="1"/>
    <col min="9959" max="9959" width="16.5703125" bestFit="1" customWidth="1"/>
    <col min="9960" max="9960" width="13.42578125" bestFit="1" customWidth="1"/>
    <col min="10207" max="10207" width="4.85546875" bestFit="1" customWidth="1"/>
    <col min="10208" max="10208" width="5.85546875" bestFit="1" customWidth="1"/>
    <col min="10209" max="10209" width="7.42578125" bestFit="1" customWidth="1"/>
    <col min="10210" max="10210" width="8.140625" bestFit="1" customWidth="1"/>
    <col min="10211" max="10211" width="4.5703125" bestFit="1" customWidth="1"/>
    <col min="10212" max="10212" width="57.5703125" customWidth="1"/>
    <col min="10213" max="10213" width="14.28515625" customWidth="1"/>
    <col min="10214" max="10214" width="0.85546875" customWidth="1"/>
    <col min="10215" max="10215" width="16.5703125" bestFit="1" customWidth="1"/>
    <col min="10216" max="10216" width="13.42578125" bestFit="1" customWidth="1"/>
    <col min="10463" max="10463" width="4.85546875" bestFit="1" customWidth="1"/>
    <col min="10464" max="10464" width="5.85546875" bestFit="1" customWidth="1"/>
    <col min="10465" max="10465" width="7.42578125" bestFit="1" customWidth="1"/>
    <col min="10466" max="10466" width="8.140625" bestFit="1" customWidth="1"/>
    <col min="10467" max="10467" width="4.5703125" bestFit="1" customWidth="1"/>
    <col min="10468" max="10468" width="57.5703125" customWidth="1"/>
    <col min="10469" max="10469" width="14.28515625" customWidth="1"/>
    <col min="10470" max="10470" width="0.85546875" customWidth="1"/>
    <col min="10471" max="10471" width="16.5703125" bestFit="1" customWidth="1"/>
    <col min="10472" max="10472" width="13.42578125" bestFit="1" customWidth="1"/>
    <col min="10719" max="10719" width="4.85546875" bestFit="1" customWidth="1"/>
    <col min="10720" max="10720" width="5.85546875" bestFit="1" customWidth="1"/>
    <col min="10721" max="10721" width="7.42578125" bestFit="1" customWidth="1"/>
    <col min="10722" max="10722" width="8.140625" bestFit="1" customWidth="1"/>
    <col min="10723" max="10723" width="4.5703125" bestFit="1" customWidth="1"/>
    <col min="10724" max="10724" width="57.5703125" customWidth="1"/>
    <col min="10725" max="10725" width="14.28515625" customWidth="1"/>
    <col min="10726" max="10726" width="0.85546875" customWidth="1"/>
    <col min="10727" max="10727" width="16.5703125" bestFit="1" customWidth="1"/>
    <col min="10728" max="10728" width="13.42578125" bestFit="1" customWidth="1"/>
    <col min="10975" max="10975" width="4.85546875" bestFit="1" customWidth="1"/>
    <col min="10976" max="10976" width="5.85546875" bestFit="1" customWidth="1"/>
    <col min="10977" max="10977" width="7.42578125" bestFit="1" customWidth="1"/>
    <col min="10978" max="10978" width="8.140625" bestFit="1" customWidth="1"/>
    <col min="10979" max="10979" width="4.5703125" bestFit="1" customWidth="1"/>
    <col min="10980" max="10980" width="57.5703125" customWidth="1"/>
    <col min="10981" max="10981" width="14.28515625" customWidth="1"/>
    <col min="10982" max="10982" width="0.85546875" customWidth="1"/>
    <col min="10983" max="10983" width="16.5703125" bestFit="1" customWidth="1"/>
    <col min="10984" max="10984" width="13.42578125" bestFit="1" customWidth="1"/>
    <col min="11231" max="11231" width="4.85546875" bestFit="1" customWidth="1"/>
    <col min="11232" max="11232" width="5.85546875" bestFit="1" customWidth="1"/>
    <col min="11233" max="11233" width="7.42578125" bestFit="1" customWidth="1"/>
    <col min="11234" max="11234" width="8.140625" bestFit="1" customWidth="1"/>
    <col min="11235" max="11235" width="4.5703125" bestFit="1" customWidth="1"/>
    <col min="11236" max="11236" width="57.5703125" customWidth="1"/>
    <col min="11237" max="11237" width="14.28515625" customWidth="1"/>
    <col min="11238" max="11238" width="0.85546875" customWidth="1"/>
    <col min="11239" max="11239" width="16.5703125" bestFit="1" customWidth="1"/>
    <col min="11240" max="11240" width="13.42578125" bestFit="1" customWidth="1"/>
    <col min="11487" max="11487" width="4.85546875" bestFit="1" customWidth="1"/>
    <col min="11488" max="11488" width="5.85546875" bestFit="1" customWidth="1"/>
    <col min="11489" max="11489" width="7.42578125" bestFit="1" customWidth="1"/>
    <col min="11490" max="11490" width="8.140625" bestFit="1" customWidth="1"/>
    <col min="11491" max="11491" width="4.5703125" bestFit="1" customWidth="1"/>
    <col min="11492" max="11492" width="57.5703125" customWidth="1"/>
    <col min="11493" max="11493" width="14.28515625" customWidth="1"/>
    <col min="11494" max="11494" width="0.85546875" customWidth="1"/>
    <col min="11495" max="11495" width="16.5703125" bestFit="1" customWidth="1"/>
    <col min="11496" max="11496" width="13.42578125" bestFit="1" customWidth="1"/>
    <col min="11743" max="11743" width="4.85546875" bestFit="1" customWidth="1"/>
    <col min="11744" max="11744" width="5.85546875" bestFit="1" customWidth="1"/>
    <col min="11745" max="11745" width="7.42578125" bestFit="1" customWidth="1"/>
    <col min="11746" max="11746" width="8.140625" bestFit="1" customWidth="1"/>
    <col min="11747" max="11747" width="4.5703125" bestFit="1" customWidth="1"/>
    <col min="11748" max="11748" width="57.5703125" customWidth="1"/>
    <col min="11749" max="11749" width="14.28515625" customWidth="1"/>
    <col min="11750" max="11750" width="0.85546875" customWidth="1"/>
    <col min="11751" max="11751" width="16.5703125" bestFit="1" customWidth="1"/>
    <col min="11752" max="11752" width="13.42578125" bestFit="1" customWidth="1"/>
    <col min="11999" max="11999" width="4.85546875" bestFit="1" customWidth="1"/>
    <col min="12000" max="12000" width="5.85546875" bestFit="1" customWidth="1"/>
    <col min="12001" max="12001" width="7.42578125" bestFit="1" customWidth="1"/>
    <col min="12002" max="12002" width="8.140625" bestFit="1" customWidth="1"/>
    <col min="12003" max="12003" width="4.5703125" bestFit="1" customWidth="1"/>
    <col min="12004" max="12004" width="57.5703125" customWidth="1"/>
    <col min="12005" max="12005" width="14.28515625" customWidth="1"/>
    <col min="12006" max="12006" width="0.85546875" customWidth="1"/>
    <col min="12007" max="12007" width="16.5703125" bestFit="1" customWidth="1"/>
    <col min="12008" max="12008" width="13.42578125" bestFit="1" customWidth="1"/>
    <col min="12255" max="12255" width="4.85546875" bestFit="1" customWidth="1"/>
    <col min="12256" max="12256" width="5.85546875" bestFit="1" customWidth="1"/>
    <col min="12257" max="12257" width="7.42578125" bestFit="1" customWidth="1"/>
    <col min="12258" max="12258" width="8.140625" bestFit="1" customWidth="1"/>
    <col min="12259" max="12259" width="4.5703125" bestFit="1" customWidth="1"/>
    <col min="12260" max="12260" width="57.5703125" customWidth="1"/>
    <col min="12261" max="12261" width="14.28515625" customWidth="1"/>
    <col min="12262" max="12262" width="0.85546875" customWidth="1"/>
    <col min="12263" max="12263" width="16.5703125" bestFit="1" customWidth="1"/>
    <col min="12264" max="12264" width="13.42578125" bestFit="1" customWidth="1"/>
    <col min="12511" max="12511" width="4.85546875" bestFit="1" customWidth="1"/>
    <col min="12512" max="12512" width="5.85546875" bestFit="1" customWidth="1"/>
    <col min="12513" max="12513" width="7.42578125" bestFit="1" customWidth="1"/>
    <col min="12514" max="12514" width="8.140625" bestFit="1" customWidth="1"/>
    <col min="12515" max="12515" width="4.5703125" bestFit="1" customWidth="1"/>
    <col min="12516" max="12516" width="57.5703125" customWidth="1"/>
    <col min="12517" max="12517" width="14.28515625" customWidth="1"/>
    <col min="12518" max="12518" width="0.85546875" customWidth="1"/>
    <col min="12519" max="12519" width="16.5703125" bestFit="1" customWidth="1"/>
    <col min="12520" max="12520" width="13.42578125" bestFit="1" customWidth="1"/>
    <col min="12767" max="12767" width="4.85546875" bestFit="1" customWidth="1"/>
    <col min="12768" max="12768" width="5.85546875" bestFit="1" customWidth="1"/>
    <col min="12769" max="12769" width="7.42578125" bestFit="1" customWidth="1"/>
    <col min="12770" max="12770" width="8.140625" bestFit="1" customWidth="1"/>
    <col min="12771" max="12771" width="4.5703125" bestFit="1" customWidth="1"/>
    <col min="12772" max="12772" width="57.5703125" customWidth="1"/>
    <col min="12773" max="12773" width="14.28515625" customWidth="1"/>
    <col min="12774" max="12774" width="0.85546875" customWidth="1"/>
    <col min="12775" max="12775" width="16.5703125" bestFit="1" customWidth="1"/>
    <col min="12776" max="12776" width="13.42578125" bestFit="1" customWidth="1"/>
    <col min="13023" max="13023" width="4.85546875" bestFit="1" customWidth="1"/>
    <col min="13024" max="13024" width="5.85546875" bestFit="1" customWidth="1"/>
    <col min="13025" max="13025" width="7.42578125" bestFit="1" customWidth="1"/>
    <col min="13026" max="13026" width="8.140625" bestFit="1" customWidth="1"/>
    <col min="13027" max="13027" width="4.5703125" bestFit="1" customWidth="1"/>
    <col min="13028" max="13028" width="57.5703125" customWidth="1"/>
    <col min="13029" max="13029" width="14.28515625" customWidth="1"/>
    <col min="13030" max="13030" width="0.85546875" customWidth="1"/>
    <col min="13031" max="13031" width="16.5703125" bestFit="1" customWidth="1"/>
    <col min="13032" max="13032" width="13.42578125" bestFit="1" customWidth="1"/>
    <col min="13279" max="13279" width="4.85546875" bestFit="1" customWidth="1"/>
    <col min="13280" max="13280" width="5.85546875" bestFit="1" customWidth="1"/>
    <col min="13281" max="13281" width="7.42578125" bestFit="1" customWidth="1"/>
    <col min="13282" max="13282" width="8.140625" bestFit="1" customWidth="1"/>
    <col min="13283" max="13283" width="4.5703125" bestFit="1" customWidth="1"/>
    <col min="13284" max="13284" width="57.5703125" customWidth="1"/>
    <col min="13285" max="13285" width="14.28515625" customWidth="1"/>
    <col min="13286" max="13286" width="0.85546875" customWidth="1"/>
    <col min="13287" max="13287" width="16.5703125" bestFit="1" customWidth="1"/>
    <col min="13288" max="13288" width="13.42578125" bestFit="1" customWidth="1"/>
    <col min="13535" max="13535" width="4.85546875" bestFit="1" customWidth="1"/>
    <col min="13536" max="13536" width="5.85546875" bestFit="1" customWidth="1"/>
    <col min="13537" max="13537" width="7.42578125" bestFit="1" customWidth="1"/>
    <col min="13538" max="13538" width="8.140625" bestFit="1" customWidth="1"/>
    <col min="13539" max="13539" width="4.5703125" bestFit="1" customWidth="1"/>
    <col min="13540" max="13540" width="57.5703125" customWidth="1"/>
    <col min="13541" max="13541" width="14.28515625" customWidth="1"/>
    <col min="13542" max="13542" width="0.85546875" customWidth="1"/>
    <col min="13543" max="13543" width="16.5703125" bestFit="1" customWidth="1"/>
    <col min="13544" max="13544" width="13.42578125" bestFit="1" customWidth="1"/>
    <col min="13791" max="13791" width="4.85546875" bestFit="1" customWidth="1"/>
    <col min="13792" max="13792" width="5.85546875" bestFit="1" customWidth="1"/>
    <col min="13793" max="13793" width="7.42578125" bestFit="1" customWidth="1"/>
    <col min="13794" max="13794" width="8.140625" bestFit="1" customWidth="1"/>
    <col min="13795" max="13795" width="4.5703125" bestFit="1" customWidth="1"/>
    <col min="13796" max="13796" width="57.5703125" customWidth="1"/>
    <col min="13797" max="13797" width="14.28515625" customWidth="1"/>
    <col min="13798" max="13798" width="0.85546875" customWidth="1"/>
    <col min="13799" max="13799" width="16.5703125" bestFit="1" customWidth="1"/>
    <col min="13800" max="13800" width="13.42578125" bestFit="1" customWidth="1"/>
    <col min="14047" max="14047" width="4.85546875" bestFit="1" customWidth="1"/>
    <col min="14048" max="14048" width="5.85546875" bestFit="1" customWidth="1"/>
    <col min="14049" max="14049" width="7.42578125" bestFit="1" customWidth="1"/>
    <col min="14050" max="14050" width="8.140625" bestFit="1" customWidth="1"/>
    <col min="14051" max="14051" width="4.5703125" bestFit="1" customWidth="1"/>
    <col min="14052" max="14052" width="57.5703125" customWidth="1"/>
    <col min="14053" max="14053" width="14.28515625" customWidth="1"/>
    <col min="14054" max="14054" width="0.85546875" customWidth="1"/>
    <col min="14055" max="14055" width="16.5703125" bestFit="1" customWidth="1"/>
    <col min="14056" max="14056" width="13.42578125" bestFit="1" customWidth="1"/>
    <col min="14303" max="14303" width="4.85546875" bestFit="1" customWidth="1"/>
    <col min="14304" max="14304" width="5.85546875" bestFit="1" customWidth="1"/>
    <col min="14305" max="14305" width="7.42578125" bestFit="1" customWidth="1"/>
    <col min="14306" max="14306" width="8.140625" bestFit="1" customWidth="1"/>
    <col min="14307" max="14307" width="4.5703125" bestFit="1" customWidth="1"/>
    <col min="14308" max="14308" width="57.5703125" customWidth="1"/>
    <col min="14309" max="14309" width="14.28515625" customWidth="1"/>
    <col min="14310" max="14310" width="0.85546875" customWidth="1"/>
    <col min="14311" max="14311" width="16.5703125" bestFit="1" customWidth="1"/>
    <col min="14312" max="14312" width="13.42578125" bestFit="1" customWidth="1"/>
    <col min="14559" max="14559" width="4.85546875" bestFit="1" customWidth="1"/>
    <col min="14560" max="14560" width="5.85546875" bestFit="1" customWidth="1"/>
    <col min="14561" max="14561" width="7.42578125" bestFit="1" customWidth="1"/>
    <col min="14562" max="14562" width="8.140625" bestFit="1" customWidth="1"/>
    <col min="14563" max="14563" width="4.5703125" bestFit="1" customWidth="1"/>
    <col min="14564" max="14564" width="57.5703125" customWidth="1"/>
    <col min="14565" max="14565" width="14.28515625" customWidth="1"/>
    <col min="14566" max="14566" width="0.85546875" customWidth="1"/>
    <col min="14567" max="14567" width="16.5703125" bestFit="1" customWidth="1"/>
    <col min="14568" max="14568" width="13.42578125" bestFit="1" customWidth="1"/>
    <col min="14815" max="14815" width="4.85546875" bestFit="1" customWidth="1"/>
    <col min="14816" max="14816" width="5.85546875" bestFit="1" customWidth="1"/>
    <col min="14817" max="14817" width="7.42578125" bestFit="1" customWidth="1"/>
    <col min="14818" max="14818" width="8.140625" bestFit="1" customWidth="1"/>
    <col min="14819" max="14819" width="4.5703125" bestFit="1" customWidth="1"/>
    <col min="14820" max="14820" width="57.5703125" customWidth="1"/>
    <col min="14821" max="14821" width="14.28515625" customWidth="1"/>
    <col min="14822" max="14822" width="0.85546875" customWidth="1"/>
    <col min="14823" max="14823" width="16.5703125" bestFit="1" customWidth="1"/>
    <col min="14824" max="14824" width="13.42578125" bestFit="1" customWidth="1"/>
    <col min="15071" max="15071" width="4.85546875" bestFit="1" customWidth="1"/>
    <col min="15072" max="15072" width="5.85546875" bestFit="1" customWidth="1"/>
    <col min="15073" max="15073" width="7.42578125" bestFit="1" customWidth="1"/>
    <col min="15074" max="15074" width="8.140625" bestFit="1" customWidth="1"/>
    <col min="15075" max="15075" width="4.5703125" bestFit="1" customWidth="1"/>
    <col min="15076" max="15076" width="57.5703125" customWidth="1"/>
    <col min="15077" max="15077" width="14.28515625" customWidth="1"/>
    <col min="15078" max="15078" width="0.85546875" customWidth="1"/>
    <col min="15079" max="15079" width="16.5703125" bestFit="1" customWidth="1"/>
    <col min="15080" max="15080" width="13.42578125" bestFit="1" customWidth="1"/>
    <col min="15327" max="15327" width="4.85546875" bestFit="1" customWidth="1"/>
    <col min="15328" max="15328" width="5.85546875" bestFit="1" customWidth="1"/>
    <col min="15329" max="15329" width="7.42578125" bestFit="1" customWidth="1"/>
    <col min="15330" max="15330" width="8.140625" bestFit="1" customWidth="1"/>
    <col min="15331" max="15331" width="4.5703125" bestFit="1" customWidth="1"/>
    <col min="15332" max="15332" width="57.5703125" customWidth="1"/>
    <col min="15333" max="15333" width="14.28515625" customWidth="1"/>
    <col min="15334" max="15334" width="0.85546875" customWidth="1"/>
    <col min="15335" max="15335" width="16.5703125" bestFit="1" customWidth="1"/>
    <col min="15336" max="15336" width="13.42578125" bestFit="1" customWidth="1"/>
    <col min="15583" max="15583" width="4.85546875" bestFit="1" customWidth="1"/>
    <col min="15584" max="15584" width="5.85546875" bestFit="1" customWidth="1"/>
    <col min="15585" max="15585" width="7.42578125" bestFit="1" customWidth="1"/>
    <col min="15586" max="15586" width="8.140625" bestFit="1" customWidth="1"/>
    <col min="15587" max="15587" width="4.5703125" bestFit="1" customWidth="1"/>
    <col min="15588" max="15588" width="57.5703125" customWidth="1"/>
    <col min="15589" max="15589" width="14.28515625" customWidth="1"/>
    <col min="15590" max="15590" width="0.85546875" customWidth="1"/>
    <col min="15591" max="15591" width="16.5703125" bestFit="1" customWidth="1"/>
    <col min="15592" max="15592" width="13.42578125" bestFit="1" customWidth="1"/>
    <col min="15839" max="15839" width="4.85546875" bestFit="1" customWidth="1"/>
    <col min="15840" max="15840" width="5.85546875" bestFit="1" customWidth="1"/>
    <col min="15841" max="15841" width="7.42578125" bestFit="1" customWidth="1"/>
    <col min="15842" max="15842" width="8.140625" bestFit="1" customWidth="1"/>
    <col min="15843" max="15843" width="4.5703125" bestFit="1" customWidth="1"/>
    <col min="15844" max="15844" width="57.5703125" customWidth="1"/>
    <col min="15845" max="15845" width="14.28515625" customWidth="1"/>
    <col min="15846" max="15846" width="0.85546875" customWidth="1"/>
    <col min="15847" max="15847" width="16.5703125" bestFit="1" customWidth="1"/>
    <col min="15848" max="15848" width="13.42578125" bestFit="1" customWidth="1"/>
    <col min="16095" max="16095" width="4.85546875" bestFit="1" customWidth="1"/>
    <col min="16096" max="16096" width="5.85546875" bestFit="1" customWidth="1"/>
    <col min="16097" max="16097" width="7.42578125" bestFit="1" customWidth="1"/>
    <col min="16098" max="16098" width="8.140625" bestFit="1" customWidth="1"/>
    <col min="16099" max="16099" width="4.5703125" bestFit="1" customWidth="1"/>
    <col min="16100" max="16100" width="57.5703125" customWidth="1"/>
    <col min="16101" max="16101" width="14.28515625" customWidth="1"/>
    <col min="16102" max="16102" width="0.85546875" customWidth="1"/>
    <col min="16103" max="16103" width="16.5703125" bestFit="1" customWidth="1"/>
    <col min="16104" max="16104" width="13.42578125" bestFit="1" customWidth="1"/>
  </cols>
  <sheetData>
    <row r="1" spans="1:19" x14ac:dyDescent="0.25">
      <c r="A1" s="19"/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1"/>
      <c r="S1" s="1"/>
    </row>
    <row r="2" spans="1:19" x14ac:dyDescent="0.25">
      <c r="A2" s="19"/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20"/>
      <c r="R2" s="1"/>
      <c r="S2" s="1"/>
    </row>
    <row r="3" spans="1:19" x14ac:dyDescent="0.25">
      <c r="A3" s="19"/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1"/>
      <c r="S3" s="1"/>
    </row>
    <row r="4" spans="1:19" x14ac:dyDescent="0.25">
      <c r="A4" s="19"/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1"/>
      <c r="S4" s="1"/>
    </row>
    <row r="5" spans="1:19" s="152" customFormat="1" ht="21.75" customHeight="1" x14ac:dyDescent="0.3">
      <c r="A5" s="162"/>
      <c r="B5" s="162"/>
      <c r="C5" s="162"/>
      <c r="D5" s="162"/>
      <c r="E5" s="162"/>
      <c r="F5" s="162"/>
      <c r="G5" s="162"/>
      <c r="H5" s="162"/>
      <c r="I5" s="162" t="s">
        <v>144</v>
      </c>
      <c r="J5" s="162"/>
      <c r="K5" s="162"/>
      <c r="L5" s="162"/>
      <c r="M5" s="162"/>
      <c r="N5" s="162"/>
      <c r="O5" s="162"/>
      <c r="P5" s="162"/>
    </row>
    <row r="6" spans="1:19" ht="20.25" customHeight="1" x14ac:dyDescent="0.3">
      <c r="A6" s="167" t="s">
        <v>145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"/>
      <c r="S6" s="1"/>
    </row>
    <row r="7" spans="1:19" ht="20.25" customHeight="1" x14ac:dyDescent="0.3">
      <c r="A7" s="167" t="s">
        <v>0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"/>
      <c r="S7" s="1"/>
    </row>
    <row r="8" spans="1:19" ht="16.5" thickBot="1" x14ac:dyDescent="0.3">
      <c r="A8" s="21"/>
      <c r="B8" s="21"/>
      <c r="C8" s="21"/>
      <c r="D8" s="21"/>
      <c r="E8" s="22"/>
      <c r="F8" s="23"/>
      <c r="G8" s="24"/>
      <c r="H8" s="25"/>
      <c r="I8" s="161"/>
      <c r="J8" s="161"/>
      <c r="K8" s="161"/>
      <c r="L8" s="161"/>
      <c r="M8" s="161"/>
      <c r="N8" s="161"/>
      <c r="O8" s="161"/>
      <c r="P8" s="161"/>
      <c r="Q8" s="25"/>
      <c r="R8" s="1"/>
      <c r="S8" s="148"/>
    </row>
    <row r="9" spans="1:19" ht="16.5" thickBot="1" x14ac:dyDescent="0.3">
      <c r="A9" s="164" t="s">
        <v>1</v>
      </c>
      <c r="B9" s="165"/>
      <c r="C9" s="165"/>
      <c r="D9" s="165"/>
      <c r="E9" s="166"/>
      <c r="F9" s="26"/>
      <c r="G9" s="149" t="s">
        <v>2</v>
      </c>
      <c r="H9" s="151" t="s">
        <v>2</v>
      </c>
      <c r="I9" s="129"/>
      <c r="J9" s="129"/>
      <c r="K9" s="129"/>
      <c r="L9" s="129"/>
      <c r="M9" s="129"/>
      <c r="N9" s="129"/>
      <c r="O9" s="129"/>
      <c r="P9" s="129"/>
      <c r="Q9" s="129"/>
      <c r="R9" s="1"/>
      <c r="S9" s="1"/>
    </row>
    <row r="10" spans="1:19" ht="48" thickBot="1" x14ac:dyDescent="0.3">
      <c r="A10" s="153"/>
      <c r="B10" s="153"/>
      <c r="C10" s="154"/>
      <c r="D10" s="154"/>
      <c r="E10" s="155"/>
      <c r="F10" s="27"/>
      <c r="G10" s="28" t="s">
        <v>127</v>
      </c>
      <c r="H10" s="150" t="s">
        <v>126</v>
      </c>
      <c r="I10" s="29" t="s">
        <v>133</v>
      </c>
      <c r="J10" s="29" t="s">
        <v>134</v>
      </c>
      <c r="K10" s="29" t="s">
        <v>136</v>
      </c>
      <c r="L10" s="29" t="s">
        <v>137</v>
      </c>
      <c r="M10" s="29" t="s">
        <v>139</v>
      </c>
      <c r="N10" s="29" t="s">
        <v>140</v>
      </c>
      <c r="O10" s="29" t="s">
        <v>141</v>
      </c>
      <c r="P10" s="29" t="s">
        <v>142</v>
      </c>
      <c r="Q10" s="135" t="s">
        <v>125</v>
      </c>
      <c r="R10" s="135" t="s">
        <v>3</v>
      </c>
      <c r="S10" s="118"/>
    </row>
    <row r="11" spans="1:19" ht="32.25" thickBot="1" x14ac:dyDescent="0.3">
      <c r="A11" s="30" t="s">
        <v>4</v>
      </c>
      <c r="B11" s="28" t="s">
        <v>5</v>
      </c>
      <c r="C11" s="31" t="s">
        <v>6</v>
      </c>
      <c r="D11" s="28" t="s">
        <v>7</v>
      </c>
      <c r="E11" s="28" t="s">
        <v>8</v>
      </c>
      <c r="F11" s="153" t="s">
        <v>9</v>
      </c>
      <c r="G11" s="32" t="s">
        <v>10</v>
      </c>
      <c r="H11" s="33" t="s">
        <v>10</v>
      </c>
      <c r="I11" s="33" t="s">
        <v>10</v>
      </c>
      <c r="J11" s="33" t="s">
        <v>10</v>
      </c>
      <c r="K11" s="33" t="s">
        <v>10</v>
      </c>
      <c r="L11" s="33" t="s">
        <v>10</v>
      </c>
      <c r="M11" s="33" t="s">
        <v>10</v>
      </c>
      <c r="N11" s="33" t="s">
        <v>10</v>
      </c>
      <c r="O11" s="33" t="s">
        <v>10</v>
      </c>
      <c r="P11" s="33" t="s">
        <v>10</v>
      </c>
      <c r="Q11" s="33" t="s">
        <v>10</v>
      </c>
      <c r="R11" s="2" t="s">
        <v>10</v>
      </c>
      <c r="S11" s="119"/>
    </row>
    <row r="12" spans="1:19" ht="15.75" x14ac:dyDescent="0.25">
      <c r="A12" s="34"/>
      <c r="B12" s="35"/>
      <c r="C12" s="36"/>
      <c r="D12" s="37"/>
      <c r="E12" s="38"/>
      <c r="F12" s="39"/>
      <c r="G12" s="40"/>
      <c r="H12" s="41"/>
      <c r="I12" s="130"/>
      <c r="J12" s="130"/>
      <c r="K12" s="130"/>
      <c r="L12" s="132">
        <f>33000+75000</f>
        <v>108000</v>
      </c>
      <c r="M12" s="130"/>
      <c r="N12" s="130"/>
      <c r="O12" s="130"/>
      <c r="P12" s="130"/>
      <c r="Q12" s="130"/>
      <c r="R12" s="3"/>
      <c r="S12" s="119"/>
    </row>
    <row r="13" spans="1:19" ht="16.5" thickBot="1" x14ac:dyDescent="0.3">
      <c r="A13" s="35">
        <v>2</v>
      </c>
      <c r="B13" s="35">
        <v>1</v>
      </c>
      <c r="C13" s="42"/>
      <c r="D13" s="35"/>
      <c r="E13" s="43"/>
      <c r="F13" s="44" t="s">
        <v>11</v>
      </c>
      <c r="G13" s="45">
        <f>G14+G32+G43+G48</f>
        <v>33477126</v>
      </c>
      <c r="H13" s="45">
        <f>H14+H32+H43+H48</f>
        <v>2407434.8200000003</v>
      </c>
      <c r="I13" s="45">
        <f t="shared" ref="I13:R13" si="0">I14+I32+I43+I48</f>
        <v>2134547.5699999998</v>
      </c>
      <c r="J13" s="45">
        <f t="shared" si="0"/>
        <v>2221135.5699999998</v>
      </c>
      <c r="K13" s="45">
        <f t="shared" si="0"/>
        <v>2324653.71</v>
      </c>
      <c r="L13" s="45">
        <f t="shared" si="0"/>
        <v>2345653.71</v>
      </c>
      <c r="M13" s="45">
        <f>M14+M32+M43+M48</f>
        <v>2771360.0599999996</v>
      </c>
      <c r="N13" s="45">
        <f>N14+N32+N43+N48</f>
        <v>2949963.16</v>
      </c>
      <c r="O13" s="45">
        <f>O14+O32+O43+O48</f>
        <v>3614248.64</v>
      </c>
      <c r="P13" s="45">
        <f>P14+P32+P43+P48</f>
        <v>2753712.31</v>
      </c>
      <c r="Q13" s="45">
        <f>Q14+Q32+Q43+Q48</f>
        <v>23522709.550000001</v>
      </c>
      <c r="R13" s="45">
        <f t="shared" si="0"/>
        <v>9954416.4500000011</v>
      </c>
      <c r="S13" s="117"/>
    </row>
    <row r="14" spans="1:19" ht="16.5" thickBot="1" x14ac:dyDescent="0.3">
      <c r="A14" s="35">
        <v>2</v>
      </c>
      <c r="B14" s="35">
        <v>1</v>
      </c>
      <c r="C14" s="42">
        <v>1</v>
      </c>
      <c r="D14" s="35"/>
      <c r="E14" s="43"/>
      <c r="F14" s="44" t="s">
        <v>12</v>
      </c>
      <c r="G14" s="46">
        <f t="shared" ref="G14:R14" si="1">G15+G18+G23+G26</f>
        <v>25377001</v>
      </c>
      <c r="H14" s="46">
        <f>H15+H18+H23+H26</f>
        <v>1947455.32</v>
      </c>
      <c r="I14" s="46">
        <f t="shared" si="1"/>
        <v>1867012</v>
      </c>
      <c r="J14" s="46">
        <f t="shared" si="1"/>
        <v>1887012</v>
      </c>
      <c r="K14" s="46">
        <f t="shared" si="1"/>
        <v>1920012</v>
      </c>
      <c r="L14" s="46">
        <f t="shared" si="1"/>
        <v>1920012</v>
      </c>
      <c r="M14" s="46">
        <f t="shared" si="1"/>
        <v>2385719.5299999998</v>
      </c>
      <c r="N14" s="46">
        <f t="shared" si="1"/>
        <v>1977345.33</v>
      </c>
      <c r="O14" s="46">
        <f t="shared" si="1"/>
        <v>1929012</v>
      </c>
      <c r="P14" s="46">
        <f t="shared" si="1"/>
        <v>1932512</v>
      </c>
      <c r="Q14" s="46">
        <f t="shared" si="1"/>
        <v>17766092.18</v>
      </c>
      <c r="R14" s="46">
        <f t="shared" si="1"/>
        <v>7610908.8200000003</v>
      </c>
      <c r="S14" s="120"/>
    </row>
    <row r="15" spans="1:19" ht="32.25" thickBot="1" x14ac:dyDescent="0.3">
      <c r="A15" s="35">
        <v>2</v>
      </c>
      <c r="B15" s="35">
        <v>1</v>
      </c>
      <c r="C15" s="42">
        <v>1</v>
      </c>
      <c r="D15" s="35">
        <v>1</v>
      </c>
      <c r="E15" s="43"/>
      <c r="F15" s="44" t="s">
        <v>13</v>
      </c>
      <c r="G15" s="47">
        <f t="shared" ref="G15:M15" si="2">G16</f>
        <v>23424924</v>
      </c>
      <c r="H15" s="48">
        <f>H16</f>
        <v>1844431</v>
      </c>
      <c r="I15" s="48">
        <f t="shared" si="2"/>
        <v>1867012</v>
      </c>
      <c r="J15" s="48">
        <f t="shared" si="2"/>
        <v>1887012</v>
      </c>
      <c r="K15" s="48">
        <f t="shared" si="2"/>
        <v>1887012</v>
      </c>
      <c r="L15" s="48">
        <f t="shared" si="2"/>
        <v>1887012</v>
      </c>
      <c r="M15" s="48">
        <f t="shared" si="2"/>
        <v>1868095.51</v>
      </c>
      <c r="N15" s="48">
        <f>N16</f>
        <v>1821012</v>
      </c>
      <c r="O15" s="48">
        <f>O16</f>
        <v>1821012</v>
      </c>
      <c r="P15" s="48">
        <f>P16</f>
        <v>1857512</v>
      </c>
      <c r="Q15" s="48">
        <f>Q16</f>
        <v>16740110.51</v>
      </c>
      <c r="R15" s="48">
        <f>R16</f>
        <v>6684813.4900000002</v>
      </c>
      <c r="S15" s="121"/>
    </row>
    <row r="16" spans="1:19" ht="15.75" x14ac:dyDescent="0.25">
      <c r="A16" s="35">
        <v>2</v>
      </c>
      <c r="B16" s="35">
        <v>1</v>
      </c>
      <c r="C16" s="42">
        <v>1</v>
      </c>
      <c r="D16" s="35">
        <v>1</v>
      </c>
      <c r="E16" s="35">
        <v>1</v>
      </c>
      <c r="F16" s="49" t="s">
        <v>14</v>
      </c>
      <c r="G16" s="108">
        <f>6300000+17124924</f>
        <v>23424924</v>
      </c>
      <c r="H16" s="51">
        <f>300000+225000+73200+185000+185000+80000+120000+135000+53812+80000+66000+85000+60000+120000+29000+47419</f>
        <v>1844431</v>
      </c>
      <c r="I16" s="51">
        <f>225000+300000+73200+185000+185000+80000+120000+135000+53812+80000+66000+85000+60000+120000+29000+70000</f>
        <v>1867012</v>
      </c>
      <c r="J16" s="51">
        <f>225000+300000+73200+185000+185000+80000+120000+135000+53812+100000+66000+85000+60000+120000+29000+70000</f>
        <v>1887012</v>
      </c>
      <c r="K16" s="51">
        <f>225000+300000+73200+185000+185000+120000+135000+53812+100000+66000+85000+60000+120000+29000+70000+80000</f>
        <v>1887012</v>
      </c>
      <c r="L16" s="51">
        <f>225000+300000+73200+185000+185000+120000+135000+53812+100000+66000+85000+60000+120000+29000+70000+80000</f>
        <v>1887012</v>
      </c>
      <c r="M16" s="51">
        <f>225000+300000+73200+185000+185000+120000+135000+53812+93000+85000+60000+120000+29000+70000+80000+7000+47083.51</f>
        <v>1868095.51</v>
      </c>
      <c r="N16" s="139">
        <f>300000+225000+185000+73200+185000+80000+120000+135000+53812+100000+85000+60000+120000+29000+70000</f>
        <v>1821012</v>
      </c>
      <c r="O16" s="139">
        <f>300000+225000+185000+73200+185000+80000+120000+135000+53812+100000+85000+60000+120000+29000+70000</f>
        <v>1821012</v>
      </c>
      <c r="P16" s="139">
        <f>300000+225000+185000+73200+185000+80000+120000+135000+53812+100000+85000+60000+120000+29000+70000+36500</f>
        <v>1857512</v>
      </c>
      <c r="Q16" s="139">
        <f>+H16+I16+J16+K16+L16+M16+N16+O16+P16</f>
        <v>16740110.51</v>
      </c>
      <c r="R16" s="156">
        <f>+G16-Q16</f>
        <v>6684813.4900000002</v>
      </c>
      <c r="S16" s="122"/>
    </row>
    <row r="17" spans="1:21" ht="31.5" customHeight="1" x14ac:dyDescent="0.25">
      <c r="A17" s="35"/>
      <c r="B17" s="35"/>
      <c r="C17" s="42"/>
      <c r="D17" s="35"/>
      <c r="E17" s="34"/>
      <c r="F17" s="49"/>
      <c r="G17" s="52"/>
      <c r="H17" s="53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23"/>
    </row>
    <row r="18" spans="1:21" ht="31.5" customHeight="1" thickBot="1" x14ac:dyDescent="0.3">
      <c r="A18" s="35">
        <v>2</v>
      </c>
      <c r="B18" s="35">
        <v>1</v>
      </c>
      <c r="C18" s="42">
        <v>1</v>
      </c>
      <c r="D18" s="35">
        <v>2</v>
      </c>
      <c r="E18" s="43"/>
      <c r="F18" s="54" t="s">
        <v>15</v>
      </c>
      <c r="G18" s="45">
        <f>G19</f>
        <v>0</v>
      </c>
      <c r="H18" s="45">
        <f t="shared" ref="H18:L18" si="3">H19+H20+H21</f>
        <v>21290.32</v>
      </c>
      <c r="I18" s="45">
        <f t="shared" si="3"/>
        <v>0</v>
      </c>
      <c r="J18" s="45">
        <f t="shared" si="3"/>
        <v>0</v>
      </c>
      <c r="K18" s="45">
        <f t="shared" si="3"/>
        <v>33000</v>
      </c>
      <c r="L18" s="45">
        <f t="shared" si="3"/>
        <v>33000</v>
      </c>
      <c r="M18" s="45">
        <f t="shared" ref="M18:R18" si="4">M19+M20+M21</f>
        <v>108000</v>
      </c>
      <c r="N18" s="45">
        <f t="shared" si="4"/>
        <v>108000</v>
      </c>
      <c r="O18" s="45">
        <f t="shared" si="4"/>
        <v>108000</v>
      </c>
      <c r="P18" s="45">
        <f t="shared" si="4"/>
        <v>75000</v>
      </c>
      <c r="Q18" s="45">
        <f t="shared" si="4"/>
        <v>486290.32</v>
      </c>
      <c r="R18" s="45">
        <f t="shared" si="4"/>
        <v>-486290.32</v>
      </c>
      <c r="S18" s="117"/>
      <c r="U18" s="141"/>
    </row>
    <row r="19" spans="1:21" ht="31.5" customHeight="1" x14ac:dyDescent="0.25">
      <c r="A19" s="35">
        <v>2</v>
      </c>
      <c r="B19" s="35">
        <v>1</v>
      </c>
      <c r="C19" s="42">
        <v>1</v>
      </c>
      <c r="D19" s="35">
        <v>2</v>
      </c>
      <c r="E19" s="35">
        <v>1</v>
      </c>
      <c r="F19" s="56" t="s">
        <v>16</v>
      </c>
      <c r="G19" s="110"/>
      <c r="H19" s="53"/>
      <c r="I19" s="53"/>
      <c r="J19" s="53"/>
      <c r="K19" s="53"/>
      <c r="L19" s="53"/>
      <c r="M19" s="53"/>
      <c r="N19" s="131"/>
      <c r="O19" s="131"/>
      <c r="P19" s="131"/>
      <c r="Q19" s="131"/>
      <c r="R19" s="131">
        <f>+G19-Q19</f>
        <v>0</v>
      </c>
      <c r="S19" s="123"/>
      <c r="T19" s="141"/>
    </row>
    <row r="20" spans="1:21" ht="31.5" customHeight="1" x14ac:dyDescent="0.25">
      <c r="A20" s="35">
        <v>2</v>
      </c>
      <c r="B20" s="35">
        <v>1</v>
      </c>
      <c r="C20" s="42">
        <v>1</v>
      </c>
      <c r="D20" s="35">
        <v>2</v>
      </c>
      <c r="E20" s="35">
        <v>2</v>
      </c>
      <c r="F20" s="56" t="s">
        <v>17</v>
      </c>
      <c r="G20" s="52"/>
      <c r="H20" s="53"/>
      <c r="I20" s="131"/>
      <c r="J20" s="131"/>
      <c r="K20" s="131"/>
      <c r="L20" s="131"/>
      <c r="M20" s="131"/>
      <c r="N20" s="131"/>
      <c r="O20" s="131"/>
      <c r="P20" s="131"/>
      <c r="Q20" s="131">
        <f>+H20+I20+J20+K20+L20+M20+N20+O20+P20</f>
        <v>0</v>
      </c>
      <c r="R20" s="131"/>
      <c r="S20" s="123"/>
    </row>
    <row r="21" spans="1:21" ht="31.5" customHeight="1" x14ac:dyDescent="0.25">
      <c r="A21" s="35">
        <v>2</v>
      </c>
      <c r="B21" s="35">
        <v>1</v>
      </c>
      <c r="C21" s="42">
        <v>1</v>
      </c>
      <c r="D21" s="35">
        <v>2</v>
      </c>
      <c r="E21" s="35">
        <v>5</v>
      </c>
      <c r="F21" s="56" t="s">
        <v>18</v>
      </c>
      <c r="G21" s="58"/>
      <c r="H21" s="60">
        <v>21290.32</v>
      </c>
      <c r="I21" s="132"/>
      <c r="J21" s="132"/>
      <c r="K21" s="132">
        <v>33000</v>
      </c>
      <c r="L21" s="132">
        <v>33000</v>
      </c>
      <c r="M21" s="132">
        <f>33000+75000</f>
        <v>108000</v>
      </c>
      <c r="N21" s="132">
        <f>33000+75000</f>
        <v>108000</v>
      </c>
      <c r="O21" s="132">
        <f>33000+75000</f>
        <v>108000</v>
      </c>
      <c r="P21" s="132">
        <v>75000</v>
      </c>
      <c r="Q21" s="131">
        <f>+H21+I21+J21+K21+L21+M21+N21+O21+P21</f>
        <v>486290.32</v>
      </c>
      <c r="R21" s="157">
        <f>+G21-Q21</f>
        <v>-486290.32</v>
      </c>
      <c r="S21" s="124"/>
    </row>
    <row r="22" spans="1:21" ht="31.5" customHeight="1" x14ac:dyDescent="0.25">
      <c r="A22" s="35"/>
      <c r="B22" s="35"/>
      <c r="C22" s="42"/>
      <c r="D22" s="35"/>
      <c r="E22" s="35"/>
      <c r="F22" s="56"/>
      <c r="G22" s="58"/>
      <c r="H22" s="60" t="s">
        <v>19</v>
      </c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24"/>
    </row>
    <row r="23" spans="1:21" ht="31.5" customHeight="1" thickBot="1" x14ac:dyDescent="0.3">
      <c r="A23" s="35">
        <v>2</v>
      </c>
      <c r="B23" s="35">
        <v>1</v>
      </c>
      <c r="C23" s="42">
        <v>1</v>
      </c>
      <c r="D23" s="35">
        <v>4</v>
      </c>
      <c r="E23" s="43"/>
      <c r="F23" s="54" t="s">
        <v>20</v>
      </c>
      <c r="G23" s="45">
        <f t="shared" ref="G23:L23" si="5">G24</f>
        <v>1952077</v>
      </c>
      <c r="H23" s="45">
        <f>H24</f>
        <v>0</v>
      </c>
      <c r="I23" s="45">
        <f t="shared" si="5"/>
        <v>0</v>
      </c>
      <c r="J23" s="45">
        <f t="shared" si="5"/>
        <v>0</v>
      </c>
      <c r="K23" s="45">
        <f t="shared" si="5"/>
        <v>0</v>
      </c>
      <c r="L23" s="45">
        <f t="shared" si="5"/>
        <v>0</v>
      </c>
      <c r="M23" s="45">
        <f>M24</f>
        <v>31423.63</v>
      </c>
      <c r="N23" s="45">
        <f t="shared" ref="N23:R23" si="6">N24</f>
        <v>48333.33</v>
      </c>
      <c r="O23" s="45">
        <f t="shared" si="6"/>
        <v>0</v>
      </c>
      <c r="P23" s="45">
        <f t="shared" si="6"/>
        <v>0</v>
      </c>
      <c r="Q23" s="45">
        <f t="shared" si="6"/>
        <v>79756.960000000006</v>
      </c>
      <c r="R23" s="45">
        <f t="shared" si="6"/>
        <v>1872320.04</v>
      </c>
      <c r="S23" s="117"/>
    </row>
    <row r="24" spans="1:21" ht="31.5" customHeight="1" x14ac:dyDescent="0.25">
      <c r="A24" s="35">
        <v>2</v>
      </c>
      <c r="B24" s="35">
        <v>1</v>
      </c>
      <c r="C24" s="42">
        <v>1</v>
      </c>
      <c r="D24" s="35">
        <v>4</v>
      </c>
      <c r="E24" s="35">
        <v>1</v>
      </c>
      <c r="F24" s="56" t="s">
        <v>21</v>
      </c>
      <c r="G24" s="57">
        <v>1952077</v>
      </c>
      <c r="H24" s="59">
        <v>0</v>
      </c>
      <c r="I24" s="133"/>
      <c r="J24" s="133"/>
      <c r="K24" s="133"/>
      <c r="L24" s="133"/>
      <c r="M24" s="133">
        <v>31423.63</v>
      </c>
      <c r="N24" s="133">
        <v>48333.33</v>
      </c>
      <c r="O24" s="133"/>
      <c r="P24" s="133"/>
      <c r="Q24" s="133">
        <f>+H24+I24+J24+K24+L24+M24+N24+O24+P24</f>
        <v>79756.960000000006</v>
      </c>
      <c r="R24" s="158">
        <f>+G24-Q24</f>
        <v>1872320.04</v>
      </c>
      <c r="S24" s="124"/>
    </row>
    <row r="25" spans="1:21" ht="31.5" customHeight="1" x14ac:dyDescent="0.25">
      <c r="A25" s="35"/>
      <c r="B25" s="35"/>
      <c r="C25" s="42"/>
      <c r="D25" s="35"/>
      <c r="E25" s="35"/>
      <c r="F25" s="56"/>
      <c r="G25" s="58"/>
      <c r="H25" s="60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24"/>
    </row>
    <row r="26" spans="1:21" ht="31.5" customHeight="1" thickBot="1" x14ac:dyDescent="0.3">
      <c r="A26" s="35">
        <v>2</v>
      </c>
      <c r="B26" s="35">
        <v>1</v>
      </c>
      <c r="C26" s="42">
        <v>1</v>
      </c>
      <c r="D26" s="35">
        <v>5</v>
      </c>
      <c r="E26" s="43"/>
      <c r="F26" s="54" t="s">
        <v>22</v>
      </c>
      <c r="G26" s="61">
        <f>G27+G30</f>
        <v>0</v>
      </c>
      <c r="H26" s="61">
        <f>H27+H30+H28+H29</f>
        <v>81734</v>
      </c>
      <c r="I26" s="61">
        <f t="shared" ref="I26:L26" si="7">I27+I30+I28+I29</f>
        <v>0</v>
      </c>
      <c r="J26" s="61">
        <f t="shared" si="7"/>
        <v>0</v>
      </c>
      <c r="K26" s="61">
        <f t="shared" si="7"/>
        <v>0</v>
      </c>
      <c r="L26" s="61">
        <f t="shared" si="7"/>
        <v>0</v>
      </c>
      <c r="M26" s="61">
        <f t="shared" ref="M26:R26" si="8">M27+M30+M28+M29</f>
        <v>378200.39</v>
      </c>
      <c r="N26" s="61">
        <f t="shared" si="8"/>
        <v>0</v>
      </c>
      <c r="O26" s="61">
        <f t="shared" si="8"/>
        <v>0</v>
      </c>
      <c r="P26" s="61">
        <f t="shared" si="8"/>
        <v>0</v>
      </c>
      <c r="Q26" s="61">
        <f t="shared" si="8"/>
        <v>459934.39</v>
      </c>
      <c r="R26" s="61">
        <f t="shared" si="8"/>
        <v>-459934.39</v>
      </c>
      <c r="S26" s="125"/>
    </row>
    <row r="27" spans="1:21" ht="31.5" customHeight="1" x14ac:dyDescent="0.25">
      <c r="A27" s="35">
        <v>2</v>
      </c>
      <c r="B27" s="35">
        <v>1</v>
      </c>
      <c r="C27" s="42">
        <v>1</v>
      </c>
      <c r="D27" s="35">
        <v>5</v>
      </c>
      <c r="E27" s="35">
        <v>1</v>
      </c>
      <c r="F27" s="56" t="s">
        <v>22</v>
      </c>
      <c r="G27" s="58"/>
      <c r="H27" s="59">
        <v>0</v>
      </c>
      <c r="I27" s="132"/>
      <c r="J27" s="132"/>
      <c r="K27" s="132"/>
      <c r="L27" s="132"/>
      <c r="M27" s="132">
        <f>378150.39+50</f>
        <v>378200.39</v>
      </c>
      <c r="N27" s="132"/>
      <c r="O27" s="132"/>
      <c r="P27" s="132"/>
      <c r="Q27" s="132">
        <f>+H27+I27+J27+K27+L27+M27+N27+O27+P27</f>
        <v>378200.39</v>
      </c>
      <c r="R27" s="157">
        <f>+G27-Q27</f>
        <v>-378200.39</v>
      </c>
      <c r="S27" s="124"/>
    </row>
    <row r="28" spans="1:21" ht="31.5" customHeight="1" x14ac:dyDescent="0.25">
      <c r="A28" s="35">
        <v>2</v>
      </c>
      <c r="B28" s="35">
        <v>1</v>
      </c>
      <c r="C28" s="42">
        <v>1</v>
      </c>
      <c r="D28" s="35">
        <v>5</v>
      </c>
      <c r="E28" s="35">
        <v>2</v>
      </c>
      <c r="F28" s="56" t="s">
        <v>23</v>
      </c>
      <c r="G28" s="58"/>
      <c r="H28" s="60">
        <v>0</v>
      </c>
      <c r="I28" s="132"/>
      <c r="J28" s="132"/>
      <c r="K28" s="132"/>
      <c r="L28" s="132"/>
      <c r="M28" s="132"/>
      <c r="N28" s="132"/>
      <c r="O28" s="132"/>
      <c r="P28" s="132"/>
      <c r="Q28" s="132">
        <f>+H28+I28+J28+K28+L28+M28+N28+O28+P28</f>
        <v>0</v>
      </c>
      <c r="R28" s="132">
        <f>+G28-Q28</f>
        <v>0</v>
      </c>
      <c r="S28" s="124"/>
    </row>
    <row r="29" spans="1:21" ht="31.5" customHeight="1" x14ac:dyDescent="0.25">
      <c r="A29" s="35">
        <v>2</v>
      </c>
      <c r="B29" s="35">
        <v>1</v>
      </c>
      <c r="C29" s="42">
        <v>1</v>
      </c>
      <c r="D29" s="35">
        <v>5</v>
      </c>
      <c r="E29" s="35">
        <v>3</v>
      </c>
      <c r="F29" s="56" t="s">
        <v>24</v>
      </c>
      <c r="G29" s="58"/>
      <c r="H29" s="60">
        <v>81734</v>
      </c>
      <c r="I29" s="132"/>
      <c r="J29" s="132"/>
      <c r="K29" s="132"/>
      <c r="L29" s="132"/>
      <c r="M29" s="132"/>
      <c r="N29" s="132"/>
      <c r="O29" s="132"/>
      <c r="P29" s="132"/>
      <c r="Q29" s="132">
        <f>+H29+I29+J29+K29+L29+M29+N29+O29+P29</f>
        <v>81734</v>
      </c>
      <c r="R29" s="132">
        <f>+G29-Q29</f>
        <v>-81734</v>
      </c>
      <c r="S29" s="124"/>
    </row>
    <row r="30" spans="1:21" ht="31.5" customHeight="1" x14ac:dyDescent="0.25">
      <c r="A30" s="35">
        <v>2</v>
      </c>
      <c r="B30" s="35">
        <v>1</v>
      </c>
      <c r="C30" s="42">
        <v>1</v>
      </c>
      <c r="D30" s="35">
        <v>5</v>
      </c>
      <c r="E30" s="35">
        <v>4</v>
      </c>
      <c r="F30" s="56" t="s">
        <v>25</v>
      </c>
      <c r="G30" s="58"/>
      <c r="H30" s="60"/>
      <c r="I30" s="132"/>
      <c r="J30" s="132"/>
      <c r="K30" s="132"/>
      <c r="L30" s="132"/>
      <c r="M30" s="132"/>
      <c r="N30" s="132"/>
      <c r="O30" s="132"/>
      <c r="P30" s="132"/>
      <c r="Q30" s="132">
        <f>+H30+I30+J30+K30+L30+M30+N30+O30</f>
        <v>0</v>
      </c>
      <c r="R30" s="132"/>
      <c r="S30" s="124"/>
    </row>
    <row r="31" spans="1:21" ht="31.5" customHeight="1" x14ac:dyDescent="0.25">
      <c r="A31" s="35"/>
      <c r="B31" s="35"/>
      <c r="C31" s="42"/>
      <c r="D31" s="35"/>
      <c r="E31" s="35"/>
      <c r="F31" s="56"/>
      <c r="G31" s="58"/>
      <c r="H31" s="60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24"/>
    </row>
    <row r="32" spans="1:21" ht="31.5" customHeight="1" x14ac:dyDescent="0.25">
      <c r="A32" s="35">
        <v>2</v>
      </c>
      <c r="B32" s="35">
        <v>1</v>
      </c>
      <c r="C32" s="42">
        <v>2</v>
      </c>
      <c r="D32" s="35"/>
      <c r="E32" s="35"/>
      <c r="F32" s="77" t="s">
        <v>26</v>
      </c>
      <c r="G32" s="111">
        <f t="shared" ref="G32:L32" si="9">G33</f>
        <v>4734631</v>
      </c>
      <c r="H32" s="112">
        <f>H33</f>
        <v>185000</v>
      </c>
      <c r="I32" s="112">
        <f t="shared" si="9"/>
        <v>0</v>
      </c>
      <c r="J32" s="112">
        <f t="shared" si="9"/>
        <v>63750</v>
      </c>
      <c r="K32" s="112">
        <f t="shared" si="9"/>
        <v>125000</v>
      </c>
      <c r="L32" s="112">
        <f t="shared" si="9"/>
        <v>146000</v>
      </c>
      <c r="M32" s="112">
        <f t="shared" ref="M32:R32" si="10">M33</f>
        <v>97423.63</v>
      </c>
      <c r="N32" s="112">
        <f t="shared" si="10"/>
        <v>691600</v>
      </c>
      <c r="O32" s="112">
        <f t="shared" si="10"/>
        <v>1404218.81</v>
      </c>
      <c r="P32" s="112">
        <f t="shared" si="10"/>
        <v>539647.33000000007</v>
      </c>
      <c r="Q32" s="112">
        <f t="shared" si="10"/>
        <v>3252639.77</v>
      </c>
      <c r="R32" s="112">
        <f t="shared" si="10"/>
        <v>1481991.23</v>
      </c>
      <c r="S32" s="120"/>
    </row>
    <row r="33" spans="1:20" ht="16.5" thickBot="1" x14ac:dyDescent="0.3">
      <c r="A33" s="35">
        <v>2</v>
      </c>
      <c r="B33" s="35">
        <v>1</v>
      </c>
      <c r="C33" s="35">
        <v>2</v>
      </c>
      <c r="D33" s="35">
        <v>2</v>
      </c>
      <c r="E33" s="35"/>
      <c r="F33" s="54" t="s">
        <v>27</v>
      </c>
      <c r="G33" s="45">
        <f t="shared" ref="G33:N33" si="11">+G35+G36+G37+G39</f>
        <v>4734631</v>
      </c>
      <c r="H33" s="45">
        <f>+H35+H36+H37+H39</f>
        <v>185000</v>
      </c>
      <c r="I33" s="45">
        <f t="shared" si="11"/>
        <v>0</v>
      </c>
      <c r="J33" s="45">
        <f t="shared" si="11"/>
        <v>63750</v>
      </c>
      <c r="K33" s="45">
        <f t="shared" si="11"/>
        <v>125000</v>
      </c>
      <c r="L33" s="45">
        <f t="shared" si="11"/>
        <v>146000</v>
      </c>
      <c r="M33" s="45">
        <f>+M35+M36+M37+M39</f>
        <v>97423.63</v>
      </c>
      <c r="N33" s="45">
        <f t="shared" si="11"/>
        <v>691600</v>
      </c>
      <c r="O33" s="45">
        <f>+O35+O36+O37+O39</f>
        <v>1404218.81</v>
      </c>
      <c r="P33" s="45">
        <f t="shared" ref="P33:R33" si="12">+P35+P36+P37+P39</f>
        <v>539647.33000000007</v>
      </c>
      <c r="Q33" s="45">
        <f t="shared" si="12"/>
        <v>3252639.77</v>
      </c>
      <c r="R33" s="45">
        <f t="shared" si="12"/>
        <v>1481991.23</v>
      </c>
      <c r="S33" s="117"/>
    </row>
    <row r="34" spans="1:20" ht="31.5" x14ac:dyDescent="0.25">
      <c r="A34" s="35">
        <v>2</v>
      </c>
      <c r="B34" s="35">
        <v>1</v>
      </c>
      <c r="C34" s="35">
        <v>2</v>
      </c>
      <c r="D34" s="35">
        <v>2</v>
      </c>
      <c r="E34" s="35">
        <v>2</v>
      </c>
      <c r="F34" s="54" t="s">
        <v>28</v>
      </c>
      <c r="G34" s="74"/>
      <c r="H34" s="46">
        <v>0</v>
      </c>
      <c r="I34" s="134"/>
      <c r="J34" s="134"/>
      <c r="K34" s="134"/>
      <c r="L34" s="134"/>
      <c r="M34" s="134"/>
      <c r="N34" s="134"/>
      <c r="O34" s="134"/>
      <c r="P34" s="134"/>
      <c r="Q34" s="134">
        <f>+H34+I34+J34+K34+L34+M34+N34+O34+P34</f>
        <v>0</v>
      </c>
      <c r="R34" s="134">
        <f>+G34-Q34</f>
        <v>0</v>
      </c>
      <c r="S34" s="122"/>
      <c r="T34" s="141"/>
    </row>
    <row r="35" spans="1:20" ht="15.75" x14ac:dyDescent="0.25">
      <c r="A35" s="35">
        <v>2</v>
      </c>
      <c r="B35" s="35">
        <v>1</v>
      </c>
      <c r="C35" s="35">
        <v>2</v>
      </c>
      <c r="D35" s="35">
        <v>2</v>
      </c>
      <c r="E35" s="35">
        <v>4</v>
      </c>
      <c r="F35" s="56" t="s">
        <v>29</v>
      </c>
      <c r="G35" s="58">
        <v>0</v>
      </c>
      <c r="H35" s="60">
        <v>0</v>
      </c>
      <c r="I35" s="132"/>
      <c r="J35" s="132"/>
      <c r="K35" s="132"/>
      <c r="L35" s="132"/>
      <c r="M35" s="132"/>
      <c r="N35" s="132"/>
      <c r="O35" s="132"/>
      <c r="P35" s="132"/>
      <c r="Q35" s="134">
        <f>+H35+I35+J35+K35+L35+M35+N35+O35+P35</f>
        <v>0</v>
      </c>
      <c r="R35" s="132">
        <f>+-G35-Q35</f>
        <v>0</v>
      </c>
      <c r="S35" s="124"/>
    </row>
    <row r="36" spans="1:20" ht="31.5" x14ac:dyDescent="0.25">
      <c r="A36" s="35">
        <v>2</v>
      </c>
      <c r="B36" s="35">
        <v>1</v>
      </c>
      <c r="C36" s="35">
        <v>2</v>
      </c>
      <c r="D36" s="35">
        <v>2</v>
      </c>
      <c r="E36" s="35">
        <v>10</v>
      </c>
      <c r="F36" s="56" t="s">
        <v>129</v>
      </c>
      <c r="G36" s="58">
        <v>1208077</v>
      </c>
      <c r="H36" s="60"/>
      <c r="I36" s="132"/>
      <c r="J36" s="132"/>
      <c r="K36" s="132"/>
      <c r="L36" s="132"/>
      <c r="M36" s="132">
        <v>66000</v>
      </c>
      <c r="N36" s="132"/>
      <c r="O36" s="132">
        <v>1404218.81</v>
      </c>
      <c r="P36" s="132">
        <f>225000+56250</f>
        <v>281250</v>
      </c>
      <c r="Q36" s="134">
        <f>+H36+I36+J36+K36+L36+M36+N36+O36+P36</f>
        <v>1751468.81</v>
      </c>
      <c r="R36" s="157">
        <f>+G36-Q36</f>
        <v>-543391.81000000006</v>
      </c>
      <c r="S36" s="124"/>
      <c r="T36" s="141"/>
    </row>
    <row r="37" spans="1:20" ht="31.5" x14ac:dyDescent="0.25">
      <c r="A37" s="35">
        <v>2</v>
      </c>
      <c r="B37" s="35">
        <v>1</v>
      </c>
      <c r="C37" s="35">
        <v>2</v>
      </c>
      <c r="D37" s="35">
        <v>2</v>
      </c>
      <c r="E37" s="35">
        <v>15</v>
      </c>
      <c r="F37" s="56" t="s">
        <v>30</v>
      </c>
      <c r="G37" s="58">
        <v>1842577</v>
      </c>
      <c r="H37" s="60"/>
      <c r="I37" s="132"/>
      <c r="J37" s="132"/>
      <c r="K37" s="132"/>
      <c r="L37" s="132"/>
      <c r="M37" s="132">
        <v>31423.63</v>
      </c>
      <c r="N37" s="132"/>
      <c r="O37" s="132"/>
      <c r="P37" s="132">
        <v>84585.33</v>
      </c>
      <c r="Q37" s="134">
        <f t="shared" ref="Q37" si="13">+H37+I37+J37+K37+L37+M37+N37+O37+P37</f>
        <v>116008.96000000001</v>
      </c>
      <c r="R37" s="157">
        <f>+G37-Q37</f>
        <v>1726568.04</v>
      </c>
      <c r="S37" s="124"/>
    </row>
    <row r="38" spans="1:20" ht="16.5" thickBot="1" x14ac:dyDescent="0.3">
      <c r="A38" s="35"/>
      <c r="B38" s="35"/>
      <c r="C38" s="42"/>
      <c r="D38" s="35"/>
      <c r="E38" s="35"/>
      <c r="F38" s="56"/>
      <c r="G38" s="58"/>
      <c r="H38" s="60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24"/>
    </row>
    <row r="39" spans="1:20" ht="32.25" thickBot="1" x14ac:dyDescent="0.3">
      <c r="A39" s="35">
        <v>2</v>
      </c>
      <c r="B39" s="35">
        <v>1</v>
      </c>
      <c r="C39" s="42">
        <v>3</v>
      </c>
      <c r="D39" s="35">
        <v>7</v>
      </c>
      <c r="E39" s="35"/>
      <c r="F39" s="77" t="s">
        <v>130</v>
      </c>
      <c r="G39" s="62">
        <f t="shared" ref="G39:M39" si="14">+G40+G41</f>
        <v>1683977</v>
      </c>
      <c r="H39" s="62">
        <f>+H40+H41</f>
        <v>185000</v>
      </c>
      <c r="I39" s="62">
        <f t="shared" si="14"/>
        <v>0</v>
      </c>
      <c r="J39" s="62">
        <f t="shared" si="14"/>
        <v>63750</v>
      </c>
      <c r="K39" s="62">
        <f t="shared" si="14"/>
        <v>125000</v>
      </c>
      <c r="L39" s="62">
        <f t="shared" si="14"/>
        <v>146000</v>
      </c>
      <c r="M39" s="62">
        <f t="shared" si="14"/>
        <v>0</v>
      </c>
      <c r="N39" s="62">
        <f>+N40+N41</f>
        <v>691600</v>
      </c>
      <c r="O39" s="62">
        <f t="shared" ref="O39:Q39" si="15">+O40+O41</f>
        <v>0</v>
      </c>
      <c r="P39" s="62">
        <f t="shared" si="15"/>
        <v>173812</v>
      </c>
      <c r="Q39" s="62">
        <f t="shared" si="15"/>
        <v>1385162</v>
      </c>
      <c r="R39" s="62">
        <f>+R40+R41</f>
        <v>298815</v>
      </c>
      <c r="S39" s="117"/>
    </row>
    <row r="40" spans="1:20" ht="15.75" x14ac:dyDescent="0.25">
      <c r="A40" s="35">
        <v>2</v>
      </c>
      <c r="B40" s="35">
        <v>1</v>
      </c>
      <c r="C40" s="42">
        <v>3</v>
      </c>
      <c r="D40" s="35">
        <v>7</v>
      </c>
      <c r="E40" s="35">
        <v>2</v>
      </c>
      <c r="F40" s="56" t="s">
        <v>131</v>
      </c>
      <c r="G40" s="58">
        <v>130000</v>
      </c>
      <c r="H40" s="60"/>
      <c r="I40" s="132"/>
      <c r="J40" s="132"/>
      <c r="K40" s="132"/>
      <c r="L40" s="132"/>
      <c r="M40" s="132"/>
      <c r="N40" s="132">
        <f>10000+20000+20000+20000+10000+10000+20000</f>
        <v>110000</v>
      </c>
      <c r="O40" s="132"/>
      <c r="P40" s="132"/>
      <c r="Q40" s="132">
        <f>+H40+I40+J40+K40+L40+M40+N40+O40+P40</f>
        <v>110000</v>
      </c>
      <c r="R40" s="132">
        <f>+G40-Q40</f>
        <v>20000</v>
      </c>
      <c r="S40" s="124"/>
    </row>
    <row r="41" spans="1:20" ht="15.75" x14ac:dyDescent="0.25">
      <c r="A41" s="35">
        <v>2</v>
      </c>
      <c r="B41" s="35">
        <v>1</v>
      </c>
      <c r="C41" s="42">
        <v>3</v>
      </c>
      <c r="D41" s="35">
        <v>7</v>
      </c>
      <c r="E41" s="35">
        <v>4</v>
      </c>
      <c r="F41" s="56" t="s">
        <v>132</v>
      </c>
      <c r="G41" s="58">
        <v>1553977</v>
      </c>
      <c r="H41" s="60">
        <v>185000</v>
      </c>
      <c r="I41" s="132"/>
      <c r="J41" s="132">
        <v>63750</v>
      </c>
      <c r="K41" s="132">
        <f>30000+15000+80000</f>
        <v>125000</v>
      </c>
      <c r="L41" s="132">
        <f>66000+80000</f>
        <v>146000</v>
      </c>
      <c r="M41" s="132"/>
      <c r="N41" s="132">
        <f>185000+225000+135000+36600</f>
        <v>581600</v>
      </c>
      <c r="O41" s="132"/>
      <c r="P41" s="132">
        <f>120000+53812</f>
        <v>173812</v>
      </c>
      <c r="Q41" s="132">
        <f>+H41+I41+J41+K41+L41+M41+N41+O41+P41</f>
        <v>1275162</v>
      </c>
      <c r="R41" s="132">
        <f>+G41-Q41</f>
        <v>278815</v>
      </c>
      <c r="S41" s="124"/>
    </row>
    <row r="42" spans="1:20" ht="15.75" x14ac:dyDescent="0.25">
      <c r="A42" s="35"/>
      <c r="B42" s="35"/>
      <c r="C42" s="42"/>
      <c r="D42" s="35"/>
      <c r="E42" s="35"/>
      <c r="F42" s="56"/>
      <c r="G42" s="58"/>
      <c r="H42" s="60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24"/>
    </row>
    <row r="43" spans="1:20" s="5" customFormat="1" ht="32.25" thickBot="1" x14ac:dyDescent="0.3">
      <c r="A43" s="35">
        <v>2</v>
      </c>
      <c r="B43" s="35">
        <v>1</v>
      </c>
      <c r="C43" s="42">
        <v>3</v>
      </c>
      <c r="D43" s="35"/>
      <c r="E43" s="35"/>
      <c r="F43" s="54" t="s">
        <v>31</v>
      </c>
      <c r="G43" s="58"/>
      <c r="H43" s="60"/>
      <c r="I43" s="132"/>
      <c r="J43" s="132"/>
      <c r="K43" s="132"/>
      <c r="L43" s="132"/>
      <c r="M43" s="132"/>
      <c r="N43" s="132"/>
      <c r="O43" s="132"/>
      <c r="P43" s="132"/>
      <c r="Q43" s="132"/>
      <c r="R43" s="134">
        <f>SUM(R44:R46)</f>
        <v>0</v>
      </c>
      <c r="S43" s="122"/>
    </row>
    <row r="44" spans="1:20" ht="16.5" thickBot="1" x14ac:dyDescent="0.3">
      <c r="A44" s="35">
        <v>2</v>
      </c>
      <c r="B44" s="35">
        <v>1</v>
      </c>
      <c r="C44" s="42">
        <v>3</v>
      </c>
      <c r="D44" s="35">
        <v>1</v>
      </c>
      <c r="E44" s="43"/>
      <c r="F44" s="54" t="s">
        <v>32</v>
      </c>
      <c r="G44" s="47">
        <f t="shared" ref="G44:R44" si="16">G45+G46</f>
        <v>0</v>
      </c>
      <c r="H44" s="48">
        <f>H45+H46</f>
        <v>0</v>
      </c>
      <c r="I44" s="48">
        <f t="shared" si="16"/>
        <v>0</v>
      </c>
      <c r="J44" s="48">
        <f t="shared" si="16"/>
        <v>0</v>
      </c>
      <c r="K44" s="48">
        <f t="shared" si="16"/>
        <v>0</v>
      </c>
      <c r="L44" s="48">
        <f t="shared" si="16"/>
        <v>0</v>
      </c>
      <c r="M44" s="48">
        <f t="shared" si="16"/>
        <v>0</v>
      </c>
      <c r="N44" s="48">
        <f t="shared" si="16"/>
        <v>0</v>
      </c>
      <c r="O44" s="48">
        <f t="shared" si="16"/>
        <v>0</v>
      </c>
      <c r="P44" s="48">
        <f t="shared" si="16"/>
        <v>0</v>
      </c>
      <c r="Q44" s="48">
        <f t="shared" si="16"/>
        <v>0</v>
      </c>
      <c r="R44" s="48">
        <f t="shared" si="16"/>
        <v>0</v>
      </c>
      <c r="S44" s="121"/>
    </row>
    <row r="45" spans="1:20" ht="15.75" x14ac:dyDescent="0.25">
      <c r="A45" s="35">
        <v>2</v>
      </c>
      <c r="B45" s="35">
        <v>1</v>
      </c>
      <c r="C45" s="42">
        <v>3</v>
      </c>
      <c r="D45" s="35">
        <v>1</v>
      </c>
      <c r="E45" s="35">
        <v>1</v>
      </c>
      <c r="F45" s="56" t="s">
        <v>33</v>
      </c>
      <c r="G45" s="57"/>
      <c r="H45" s="60">
        <f>G45*12</f>
        <v>0</v>
      </c>
      <c r="I45" s="132"/>
      <c r="J45" s="132"/>
      <c r="K45" s="132"/>
      <c r="L45" s="132"/>
      <c r="M45" s="132"/>
      <c r="N45" s="132"/>
      <c r="O45" s="132"/>
      <c r="P45" s="132"/>
      <c r="Q45" s="132">
        <f>+H45+I45+J45+K45+L45+M45+N45+O45+P45</f>
        <v>0</v>
      </c>
      <c r="R45" s="132">
        <f>+G45-Q45</f>
        <v>0</v>
      </c>
      <c r="S45" s="124"/>
    </row>
    <row r="46" spans="1:20" ht="15.75" x14ac:dyDescent="0.25">
      <c r="A46" s="35">
        <v>2</v>
      </c>
      <c r="B46" s="35">
        <v>1</v>
      </c>
      <c r="C46" s="42">
        <v>3</v>
      </c>
      <c r="D46" s="35">
        <v>1</v>
      </c>
      <c r="E46" s="35">
        <v>2</v>
      </c>
      <c r="F46" s="56" t="s">
        <v>34</v>
      </c>
      <c r="G46" s="58"/>
      <c r="H46" s="60">
        <f>G46*12</f>
        <v>0</v>
      </c>
      <c r="I46" s="132"/>
      <c r="J46" s="132"/>
      <c r="K46" s="132"/>
      <c r="L46" s="132"/>
      <c r="M46" s="132"/>
      <c r="N46" s="132"/>
      <c r="O46" s="132"/>
      <c r="P46" s="132"/>
      <c r="Q46" s="132">
        <f>+H46+I46+J46+K46+L46+M46+N46+O46+P46</f>
        <v>0</v>
      </c>
      <c r="R46" s="132">
        <f>+G46-Q46</f>
        <v>0</v>
      </c>
      <c r="S46" s="124"/>
    </row>
    <row r="47" spans="1:20" ht="15.75" x14ac:dyDescent="0.25">
      <c r="A47" s="35"/>
      <c r="B47" s="35"/>
      <c r="C47" s="42"/>
      <c r="D47" s="35"/>
      <c r="E47" s="35"/>
      <c r="F47" s="56"/>
      <c r="G47" s="58"/>
      <c r="H47" s="60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24"/>
    </row>
    <row r="48" spans="1:20" ht="48" thickBot="1" x14ac:dyDescent="0.3">
      <c r="A48" s="35">
        <v>2</v>
      </c>
      <c r="B48" s="64">
        <v>1</v>
      </c>
      <c r="C48" s="65">
        <v>5</v>
      </c>
      <c r="D48" s="43"/>
      <c r="E48" s="43"/>
      <c r="F48" s="54" t="s">
        <v>35</v>
      </c>
      <c r="G48" s="45">
        <f t="shared" ref="G48:I48" si="17">SUM(G49:G51)</f>
        <v>3365494</v>
      </c>
      <c r="H48" s="46">
        <f>SUM(H49:H51)</f>
        <v>274979.5</v>
      </c>
      <c r="I48" s="46">
        <f t="shared" si="17"/>
        <v>267535.57</v>
      </c>
      <c r="J48" s="46">
        <f t="shared" ref="J48:L48" si="18">SUM(J49:J51)</f>
        <v>270373.57</v>
      </c>
      <c r="K48" s="46">
        <f t="shared" si="18"/>
        <v>279641.71000000002</v>
      </c>
      <c r="L48" s="46">
        <f t="shared" si="18"/>
        <v>279641.71000000002</v>
      </c>
      <c r="M48" s="46">
        <f>SUM(M49:M51)</f>
        <v>288216.90000000002</v>
      </c>
      <c r="N48" s="46">
        <f>SUM(N49:N51)</f>
        <v>281017.83</v>
      </c>
      <c r="O48" s="46">
        <f t="shared" ref="O48:R48" si="19">SUM(O49:O51)</f>
        <v>281017.83</v>
      </c>
      <c r="P48" s="46">
        <f t="shared" si="19"/>
        <v>281552.98</v>
      </c>
      <c r="Q48" s="46">
        <f t="shared" si="19"/>
        <v>2503977.6</v>
      </c>
      <c r="R48" s="46">
        <f t="shared" si="19"/>
        <v>861516.39999999979</v>
      </c>
      <c r="S48" s="120"/>
    </row>
    <row r="49" spans="1:19" ht="31.5" x14ac:dyDescent="0.25">
      <c r="A49" s="35">
        <v>2</v>
      </c>
      <c r="B49" s="35">
        <v>1</v>
      </c>
      <c r="C49" s="42">
        <v>5</v>
      </c>
      <c r="D49" s="35">
        <v>1</v>
      </c>
      <c r="E49" s="35"/>
      <c r="F49" s="49" t="s">
        <v>36</v>
      </c>
      <c r="G49" s="57">
        <v>1543459</v>
      </c>
      <c r="H49" s="59">
        <v>126042.25</v>
      </c>
      <c r="I49" s="59">
        <v>122590.49</v>
      </c>
      <c r="J49" s="59">
        <v>124008.49</v>
      </c>
      <c r="K49" s="59">
        <v>129641.21</v>
      </c>
      <c r="L49" s="59">
        <v>129641.21</v>
      </c>
      <c r="M49" s="59">
        <v>133617.54</v>
      </c>
      <c r="N49" s="59">
        <v>130279.32</v>
      </c>
      <c r="O49" s="59">
        <v>130279.32</v>
      </c>
      <c r="P49" s="59">
        <v>130527.47</v>
      </c>
      <c r="Q49" s="59">
        <f>+H49+I49+J49+K49+L49+M49+N49+O49+P49</f>
        <v>1156627.3</v>
      </c>
      <c r="R49" s="159">
        <f>+G49-Q49</f>
        <v>386831.69999999995</v>
      </c>
      <c r="S49" s="121"/>
    </row>
    <row r="50" spans="1:19" ht="31.5" x14ac:dyDescent="0.25">
      <c r="A50" s="35">
        <v>2</v>
      </c>
      <c r="B50" s="35">
        <v>1</v>
      </c>
      <c r="C50" s="42">
        <v>5</v>
      </c>
      <c r="D50" s="35">
        <v>2</v>
      </c>
      <c r="E50" s="35"/>
      <c r="F50" s="49" t="s">
        <v>37</v>
      </c>
      <c r="G50" s="58">
        <v>1663170</v>
      </c>
      <c r="H50" s="60">
        <v>136014.48000000001</v>
      </c>
      <c r="I50" s="60">
        <v>132557.85</v>
      </c>
      <c r="J50" s="60">
        <v>133977.85</v>
      </c>
      <c r="K50" s="60">
        <v>136320.85</v>
      </c>
      <c r="L50" s="60">
        <v>136320.85</v>
      </c>
      <c r="M50" s="60">
        <v>140302.78</v>
      </c>
      <c r="N50" s="60">
        <v>136959.85</v>
      </c>
      <c r="O50" s="60">
        <v>136959.85</v>
      </c>
      <c r="P50" s="60">
        <f>131883.35+5325</f>
        <v>137208.35</v>
      </c>
      <c r="Q50" s="60">
        <f>+H50+I50+J50+K50+L50+M50+N50+O50+P50</f>
        <v>1226622.7100000002</v>
      </c>
      <c r="R50" s="160">
        <f>+G50-Q50</f>
        <v>436547.2899999998</v>
      </c>
      <c r="S50" s="121"/>
    </row>
    <row r="51" spans="1:19" ht="31.5" x14ac:dyDescent="0.25">
      <c r="A51" s="35">
        <v>2</v>
      </c>
      <c r="B51" s="35">
        <v>1</v>
      </c>
      <c r="C51" s="42">
        <v>5</v>
      </c>
      <c r="D51" s="35">
        <v>3</v>
      </c>
      <c r="E51" s="35"/>
      <c r="F51" s="56" t="s">
        <v>38</v>
      </c>
      <c r="G51" s="58">
        <v>158865</v>
      </c>
      <c r="H51" s="60">
        <v>12922.77</v>
      </c>
      <c r="I51" s="60">
        <v>12387.23</v>
      </c>
      <c r="J51" s="60">
        <v>12387.23</v>
      </c>
      <c r="K51" s="60">
        <v>13679.65</v>
      </c>
      <c r="L51" s="60">
        <v>13679.65</v>
      </c>
      <c r="M51" s="60">
        <v>14296.58</v>
      </c>
      <c r="N51" s="60">
        <v>13778.66</v>
      </c>
      <c r="O51" s="60">
        <v>13778.66</v>
      </c>
      <c r="P51" s="60">
        <f>12992.16+825</f>
        <v>13817.16</v>
      </c>
      <c r="Q51" s="60">
        <f>+H51+I51+J51+K51+L51+M51+N51+O51+P51</f>
        <v>120727.59000000001</v>
      </c>
      <c r="R51" s="160">
        <f>+G51-Q51</f>
        <v>38137.409999999989</v>
      </c>
      <c r="S51" s="121"/>
    </row>
    <row r="52" spans="1:19" ht="15.75" x14ac:dyDescent="0.25">
      <c r="A52" s="35"/>
      <c r="B52" s="35"/>
      <c r="C52" s="42"/>
      <c r="D52" s="35"/>
      <c r="E52" s="35"/>
      <c r="F52" s="56"/>
      <c r="G52" s="58"/>
      <c r="H52" s="60"/>
      <c r="I52" s="60"/>
      <c r="J52" s="60"/>
      <c r="K52" s="60"/>
      <c r="L52" s="60"/>
      <c r="M52" s="60"/>
      <c r="N52" s="60"/>
      <c r="O52" s="60"/>
      <c r="P52" s="60" t="s">
        <v>143</v>
      </c>
      <c r="Q52" s="60"/>
      <c r="R52" s="60"/>
      <c r="S52" s="121"/>
    </row>
    <row r="53" spans="1:19" ht="32.25" thickBot="1" x14ac:dyDescent="0.3">
      <c r="A53" s="35">
        <v>2</v>
      </c>
      <c r="B53" s="35">
        <v>2</v>
      </c>
      <c r="C53" s="42"/>
      <c r="D53" s="35"/>
      <c r="E53" s="43"/>
      <c r="F53" s="44" t="s">
        <v>39</v>
      </c>
      <c r="G53" s="45">
        <f t="shared" ref="G53:R53" si="20">G54+G62+G66+G70+G74+G86+G94+G82+G111</f>
        <v>19955541</v>
      </c>
      <c r="H53" s="55">
        <f>H54+H62+H66+H70+H74+H86+H94+H82+H111</f>
        <v>2925896.66</v>
      </c>
      <c r="I53" s="55">
        <f t="shared" si="20"/>
        <v>2324677.38</v>
      </c>
      <c r="J53" s="55">
        <f t="shared" si="20"/>
        <v>3105397.47</v>
      </c>
      <c r="K53" s="55">
        <f t="shared" si="20"/>
        <v>2360074.7300000004</v>
      </c>
      <c r="L53" s="55">
        <f t="shared" si="20"/>
        <v>3107560.31</v>
      </c>
      <c r="M53" s="55">
        <f t="shared" si="20"/>
        <v>7889262.2599999998</v>
      </c>
      <c r="N53" s="55">
        <f t="shared" si="20"/>
        <v>8254741.580000001</v>
      </c>
      <c r="O53" s="55">
        <f t="shared" si="20"/>
        <v>3814811.2700000005</v>
      </c>
      <c r="P53" s="55">
        <f t="shared" si="20"/>
        <v>2773672.9599999995</v>
      </c>
      <c r="Q53" s="55">
        <f t="shared" si="20"/>
        <v>36556094.619999997</v>
      </c>
      <c r="R53" s="55">
        <f t="shared" si="20"/>
        <v>-16600553.619999994</v>
      </c>
      <c r="S53" s="120"/>
    </row>
    <row r="54" spans="1:19" ht="16.5" thickBot="1" x14ac:dyDescent="0.3">
      <c r="A54" s="35">
        <v>2</v>
      </c>
      <c r="B54" s="35">
        <v>2</v>
      </c>
      <c r="C54" s="42">
        <v>1</v>
      </c>
      <c r="D54" s="35"/>
      <c r="E54" s="43"/>
      <c r="F54" s="44" t="s">
        <v>40</v>
      </c>
      <c r="G54" s="62">
        <f t="shared" ref="G54:L54" si="21">G55+G56+G57+G59</f>
        <v>2534355</v>
      </c>
      <c r="H54" s="46">
        <f>H55+H56+H57+H59</f>
        <v>138110.23000000001</v>
      </c>
      <c r="I54" s="46">
        <f t="shared" si="21"/>
        <v>151925.69</v>
      </c>
      <c r="J54" s="46">
        <f t="shared" si="21"/>
        <v>147809.08000000002</v>
      </c>
      <c r="K54" s="46">
        <f t="shared" si="21"/>
        <v>157153.09</v>
      </c>
      <c r="L54" s="46">
        <f t="shared" si="21"/>
        <v>280734.61</v>
      </c>
      <c r="M54" s="46">
        <f t="shared" ref="M54:R54" si="22">M55+M56+M57+M59</f>
        <v>177026.38</v>
      </c>
      <c r="N54" s="46">
        <f t="shared" si="22"/>
        <v>177534.53000000003</v>
      </c>
      <c r="O54" s="46">
        <f t="shared" si="22"/>
        <v>164749.16</v>
      </c>
      <c r="P54" s="46">
        <f t="shared" si="22"/>
        <v>164983.73000000001</v>
      </c>
      <c r="Q54" s="46">
        <f t="shared" si="22"/>
        <v>1560026.5</v>
      </c>
      <c r="R54" s="46">
        <f t="shared" si="22"/>
        <v>974328.5</v>
      </c>
      <c r="S54" s="120"/>
    </row>
    <row r="55" spans="1:19" ht="15.75" x14ac:dyDescent="0.25">
      <c r="A55" s="35">
        <v>2</v>
      </c>
      <c r="B55" s="35">
        <v>2</v>
      </c>
      <c r="C55" s="42">
        <v>1</v>
      </c>
      <c r="D55" s="35">
        <v>3</v>
      </c>
      <c r="E55" s="35"/>
      <c r="F55" s="49" t="s">
        <v>41</v>
      </c>
      <c r="G55" s="57">
        <v>306000</v>
      </c>
      <c r="H55" s="59">
        <f>22419.33+31889</f>
        <v>54308.33</v>
      </c>
      <c r="I55" s="59">
        <f>31889+22224.9+10171.6+1</f>
        <v>64286.5</v>
      </c>
      <c r="J55" s="59">
        <f>22566.23+31889</f>
        <v>54455.229999999996</v>
      </c>
      <c r="K55" s="59">
        <f>22919.54+31889</f>
        <v>54808.54</v>
      </c>
      <c r="L55" s="59">
        <f>163463.97+23784.41</f>
        <v>187248.38</v>
      </c>
      <c r="M55" s="59">
        <f>23357.08+42043.95</f>
        <v>65401.03</v>
      </c>
      <c r="N55" s="59">
        <f>23374.48+53712.77</f>
        <v>77087.25</v>
      </c>
      <c r="O55" s="59">
        <f>37862.5+22589.83</f>
        <v>60452.33</v>
      </c>
      <c r="P55" s="59">
        <f>37862.5+22783.96</f>
        <v>60646.46</v>
      </c>
      <c r="Q55" s="59">
        <f>+H55+I55+J55+K55+L55+M55+N55+O55+P55</f>
        <v>678694.04999999993</v>
      </c>
      <c r="R55" s="159">
        <f>+G55-Q55</f>
        <v>-372694.04999999993</v>
      </c>
      <c r="S55" s="121"/>
    </row>
    <row r="56" spans="1:19" ht="15.75" x14ac:dyDescent="0.25">
      <c r="A56" s="35">
        <v>2</v>
      </c>
      <c r="B56" s="35">
        <v>2</v>
      </c>
      <c r="C56" s="42">
        <v>1</v>
      </c>
      <c r="D56" s="35">
        <v>4</v>
      </c>
      <c r="E56" s="35"/>
      <c r="F56" s="49" t="s">
        <v>42</v>
      </c>
      <c r="G56" s="58">
        <v>276000</v>
      </c>
      <c r="H56" s="60"/>
      <c r="I56" s="60"/>
      <c r="J56" s="60"/>
      <c r="K56" s="60"/>
      <c r="L56" s="60"/>
      <c r="M56" s="60"/>
      <c r="N56" s="60"/>
      <c r="O56" s="60"/>
      <c r="P56" s="60"/>
      <c r="Q56" s="60">
        <f>+H56+I56+J56+K56+L56+M56+N56+O56+P56</f>
        <v>0</v>
      </c>
      <c r="R56" s="60">
        <f>+G56-Q56</f>
        <v>276000</v>
      </c>
      <c r="S56" s="121"/>
    </row>
    <row r="57" spans="1:19" ht="31.5" x14ac:dyDescent="0.25">
      <c r="A57" s="35">
        <v>2</v>
      </c>
      <c r="B57" s="35">
        <v>2</v>
      </c>
      <c r="C57" s="42">
        <v>1</v>
      </c>
      <c r="D57" s="35">
        <v>5</v>
      </c>
      <c r="E57" s="35"/>
      <c r="F57" s="49" t="s">
        <v>43</v>
      </c>
      <c r="G57" s="58">
        <v>992355</v>
      </c>
      <c r="H57" s="60">
        <f>22224.9+2041</f>
        <v>24265.9</v>
      </c>
      <c r="I57" s="60">
        <f>22647.36+2041</f>
        <v>24688.36</v>
      </c>
      <c r="J57" s="60">
        <f>22224.9+2041</f>
        <v>24265.9</v>
      </c>
      <c r="K57" s="60">
        <f>10176.4+22746.46</f>
        <v>32922.86</v>
      </c>
      <c r="L57" s="60">
        <f>22746.46+8047</f>
        <v>30793.46</v>
      </c>
      <c r="M57" s="60">
        <f>34021.36+8047</f>
        <v>42068.36</v>
      </c>
      <c r="N57" s="60">
        <f>8020.51+22166.22</f>
        <v>30186.730000000003</v>
      </c>
      <c r="O57" s="60">
        <f>22191.86+8047</f>
        <v>30238.86</v>
      </c>
      <c r="P57" s="60">
        <f>22191.86+8047</f>
        <v>30238.86</v>
      </c>
      <c r="Q57" s="60">
        <f>+H57+I57+J57+K57+L57+M57+N57+O57+P57</f>
        <v>269669.29000000004</v>
      </c>
      <c r="R57" s="60">
        <f>+G57-Q57</f>
        <v>722685.71</v>
      </c>
      <c r="S57" s="121"/>
    </row>
    <row r="58" spans="1:19" ht="15.75" x14ac:dyDescent="0.25">
      <c r="A58" s="35"/>
      <c r="B58" s="35"/>
      <c r="C58" s="42"/>
      <c r="D58" s="35"/>
      <c r="E58" s="35"/>
      <c r="F58" s="49"/>
      <c r="G58" s="58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121"/>
    </row>
    <row r="59" spans="1:19" ht="16.5" thickBot="1" x14ac:dyDescent="0.3">
      <c r="A59" s="35">
        <v>2</v>
      </c>
      <c r="B59" s="35">
        <v>2</v>
      </c>
      <c r="C59" s="42">
        <v>1</v>
      </c>
      <c r="D59" s="35">
        <v>6</v>
      </c>
      <c r="E59" s="35"/>
      <c r="F59" s="54" t="s">
        <v>44</v>
      </c>
      <c r="G59" s="45">
        <f t="shared" ref="G59:Q59" si="23">G60</f>
        <v>960000</v>
      </c>
      <c r="H59" s="66">
        <f>H60</f>
        <v>59536</v>
      </c>
      <c r="I59" s="66">
        <f t="shared" si="23"/>
        <v>62950.83</v>
      </c>
      <c r="J59" s="66">
        <f t="shared" si="23"/>
        <v>69087.95</v>
      </c>
      <c r="K59" s="66">
        <f t="shared" si="23"/>
        <v>69421.69</v>
      </c>
      <c r="L59" s="66">
        <f t="shared" si="23"/>
        <v>62692.77</v>
      </c>
      <c r="M59" s="66">
        <f t="shared" si="23"/>
        <v>69556.990000000005</v>
      </c>
      <c r="N59" s="66">
        <f t="shared" si="23"/>
        <v>70260.55</v>
      </c>
      <c r="O59" s="66">
        <f t="shared" si="23"/>
        <v>74057.97</v>
      </c>
      <c r="P59" s="66">
        <f t="shared" si="23"/>
        <v>74098.41</v>
      </c>
      <c r="Q59" s="66">
        <f t="shared" si="23"/>
        <v>611663.16</v>
      </c>
      <c r="R59" s="66">
        <f>R60</f>
        <v>348336.83999999997</v>
      </c>
      <c r="S59" s="121"/>
    </row>
    <row r="60" spans="1:19" ht="15.75" x14ac:dyDescent="0.25">
      <c r="A60" s="35">
        <v>2</v>
      </c>
      <c r="B60" s="35">
        <v>2</v>
      </c>
      <c r="C60" s="42">
        <v>1</v>
      </c>
      <c r="D60" s="35">
        <v>6</v>
      </c>
      <c r="E60" s="35">
        <v>1</v>
      </c>
      <c r="F60" s="49" t="s">
        <v>45</v>
      </c>
      <c r="G60" s="57">
        <v>960000</v>
      </c>
      <c r="H60" s="60">
        <v>59536</v>
      </c>
      <c r="I60" s="60">
        <v>62950.83</v>
      </c>
      <c r="J60" s="60">
        <v>69087.95</v>
      </c>
      <c r="K60" s="60">
        <v>69421.69</v>
      </c>
      <c r="L60" s="60">
        <v>62692.77</v>
      </c>
      <c r="M60" s="60">
        <v>69556.990000000005</v>
      </c>
      <c r="N60" s="60">
        <v>70260.55</v>
      </c>
      <c r="O60" s="60">
        <v>74057.97</v>
      </c>
      <c r="P60" s="60">
        <v>74098.41</v>
      </c>
      <c r="Q60" s="60">
        <f>+H60+I60+N60+J60+K60+L60+M60+O60+P60</f>
        <v>611663.16</v>
      </c>
      <c r="R60" s="60">
        <f>+G60-Q60</f>
        <v>348336.83999999997</v>
      </c>
      <c r="S60" s="121"/>
    </row>
    <row r="61" spans="1:19" ht="15.75" x14ac:dyDescent="0.25">
      <c r="A61" s="35"/>
      <c r="B61" s="35"/>
      <c r="C61" s="42"/>
      <c r="D61" s="35"/>
      <c r="E61" s="35"/>
      <c r="F61" s="49"/>
      <c r="G61" s="58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121"/>
    </row>
    <row r="62" spans="1:19" ht="32.25" thickBot="1" x14ac:dyDescent="0.3">
      <c r="A62" s="35">
        <v>2</v>
      </c>
      <c r="B62" s="35">
        <v>2</v>
      </c>
      <c r="C62" s="42">
        <v>2</v>
      </c>
      <c r="D62" s="35"/>
      <c r="E62" s="35"/>
      <c r="F62" s="54" t="s">
        <v>46</v>
      </c>
      <c r="G62" s="45">
        <f>SUM(G63:G64)</f>
        <v>468493</v>
      </c>
      <c r="H62" s="46">
        <f t="shared" ref="H62:L62" si="24">H63+H64</f>
        <v>3100</v>
      </c>
      <c r="I62" s="46">
        <f t="shared" si="24"/>
        <v>167500</v>
      </c>
      <c r="J62" s="46">
        <f t="shared" si="24"/>
        <v>3450</v>
      </c>
      <c r="K62" s="46">
        <f t="shared" si="24"/>
        <v>4590</v>
      </c>
      <c r="L62" s="46">
        <f t="shared" si="24"/>
        <v>44840</v>
      </c>
      <c r="M62" s="46">
        <f t="shared" ref="M62:R62" si="25">M63+M64</f>
        <v>179860.5</v>
      </c>
      <c r="N62" s="46">
        <f t="shared" si="25"/>
        <v>69988.75</v>
      </c>
      <c r="O62" s="46">
        <f t="shared" si="25"/>
        <v>0</v>
      </c>
      <c r="P62" s="46">
        <f t="shared" si="25"/>
        <v>0</v>
      </c>
      <c r="Q62" s="46">
        <f t="shared" si="25"/>
        <v>473329.25</v>
      </c>
      <c r="R62" s="46">
        <f t="shared" si="25"/>
        <v>-4836.25</v>
      </c>
      <c r="S62" s="120"/>
    </row>
    <row r="63" spans="1:19" ht="15.75" x14ac:dyDescent="0.25">
      <c r="A63" s="35">
        <v>2</v>
      </c>
      <c r="B63" s="35">
        <v>2</v>
      </c>
      <c r="C63" s="42">
        <v>2</v>
      </c>
      <c r="D63" s="35">
        <v>1</v>
      </c>
      <c r="E63" s="35"/>
      <c r="F63" s="56" t="s">
        <v>47</v>
      </c>
      <c r="G63" s="57">
        <v>436493</v>
      </c>
      <c r="H63" s="59">
        <v>3100</v>
      </c>
      <c r="I63" s="59">
        <f>167500</f>
        <v>167500</v>
      </c>
      <c r="J63" s="59">
        <f>3450</f>
        <v>3450</v>
      </c>
      <c r="K63" s="59"/>
      <c r="L63" s="137"/>
      <c r="M63" s="137"/>
      <c r="N63" s="137"/>
      <c r="O63" s="137"/>
      <c r="P63" s="137"/>
      <c r="Q63" s="59">
        <f>+H63+I63+J63+K63+L63+M63+N63+O63+P63</f>
        <v>174050</v>
      </c>
      <c r="R63" s="133">
        <f>+G63-Q63</f>
        <v>262443</v>
      </c>
      <c r="S63" s="121"/>
    </row>
    <row r="64" spans="1:19" ht="31.5" x14ac:dyDescent="0.25">
      <c r="A64" s="35">
        <v>2</v>
      </c>
      <c r="B64" s="35">
        <v>2</v>
      </c>
      <c r="C64" s="42">
        <v>2</v>
      </c>
      <c r="D64" s="35">
        <v>2</v>
      </c>
      <c r="E64" s="35"/>
      <c r="F64" s="56" t="s">
        <v>48</v>
      </c>
      <c r="G64" s="58">
        <v>32000</v>
      </c>
      <c r="H64" s="60"/>
      <c r="I64" s="60"/>
      <c r="J64" s="60"/>
      <c r="K64" s="60">
        <v>4590</v>
      </c>
      <c r="L64" s="136">
        <v>44840</v>
      </c>
      <c r="M64" s="136">
        <f>15930+11210+136331.3+8524.2+3746+4119</f>
        <v>179860.5</v>
      </c>
      <c r="N64" s="136">
        <f>65268.75+4720</f>
        <v>69988.75</v>
      </c>
      <c r="O64" s="136"/>
      <c r="P64" s="136"/>
      <c r="Q64" s="60">
        <f>+H64+I64+J64+K64+L64+M64+N64+O64+P64</f>
        <v>299279.25</v>
      </c>
      <c r="R64" s="132">
        <f>+G64-Q64</f>
        <v>-267279.25</v>
      </c>
      <c r="S64" s="121"/>
    </row>
    <row r="65" spans="1:20" ht="15.75" x14ac:dyDescent="0.25">
      <c r="A65" s="35"/>
      <c r="B65" s="35"/>
      <c r="C65" s="42"/>
      <c r="D65" s="35"/>
      <c r="E65" s="35"/>
      <c r="F65" s="49"/>
      <c r="G65" s="58"/>
      <c r="H65" s="60"/>
      <c r="I65" s="60"/>
      <c r="J65" s="60"/>
      <c r="K65" s="60"/>
      <c r="L65" s="136"/>
      <c r="M65" s="136"/>
      <c r="N65" s="136"/>
      <c r="O65" s="136"/>
      <c r="P65" s="136"/>
      <c r="Q65" s="60"/>
      <c r="R65" s="132"/>
      <c r="S65" s="121"/>
    </row>
    <row r="66" spans="1:20" ht="16.5" thickBot="1" x14ac:dyDescent="0.3">
      <c r="A66" s="35">
        <v>2</v>
      </c>
      <c r="B66" s="35">
        <v>2</v>
      </c>
      <c r="C66" s="42">
        <v>3</v>
      </c>
      <c r="D66" s="35"/>
      <c r="E66" s="35"/>
      <c r="F66" s="54" t="s">
        <v>49</v>
      </c>
      <c r="G66" s="45">
        <f t="shared" ref="G66:L66" si="26">G67+G68</f>
        <v>189190</v>
      </c>
      <c r="H66" s="55">
        <f>H67+H68</f>
        <v>1600</v>
      </c>
      <c r="I66" s="55">
        <f t="shared" si="26"/>
        <v>1800</v>
      </c>
      <c r="J66" s="55">
        <f t="shared" si="26"/>
        <v>145917.6</v>
      </c>
      <c r="K66" s="55">
        <f t="shared" si="26"/>
        <v>116934.48</v>
      </c>
      <c r="L66" s="146">
        <f t="shared" si="26"/>
        <v>3000</v>
      </c>
      <c r="M66" s="146">
        <f>M67+M68</f>
        <v>49500</v>
      </c>
      <c r="N66" s="146">
        <f>N67+N68</f>
        <v>1500</v>
      </c>
      <c r="O66" s="146">
        <f t="shared" ref="O66:Q66" si="27">O67+O68</f>
        <v>0</v>
      </c>
      <c r="P66" s="146">
        <f t="shared" si="27"/>
        <v>0</v>
      </c>
      <c r="Q66" s="55">
        <f t="shared" si="27"/>
        <v>320252.08</v>
      </c>
      <c r="R66" s="147">
        <f>R67+R68</f>
        <v>-131062.08000000002</v>
      </c>
      <c r="S66" s="120"/>
    </row>
    <row r="67" spans="1:20" ht="15.75" x14ac:dyDescent="0.25">
      <c r="A67" s="35">
        <v>2</v>
      </c>
      <c r="B67" s="35">
        <v>2</v>
      </c>
      <c r="C67" s="42">
        <v>3</v>
      </c>
      <c r="D67" s="35">
        <v>1</v>
      </c>
      <c r="E67" s="68"/>
      <c r="F67" s="56" t="s">
        <v>50</v>
      </c>
      <c r="G67" s="57">
        <v>150000</v>
      </c>
      <c r="H67" s="51">
        <f>800+800</f>
        <v>1600</v>
      </c>
      <c r="I67" s="51">
        <v>1800</v>
      </c>
      <c r="J67" s="51">
        <v>3000</v>
      </c>
      <c r="K67" s="51">
        <v>3000</v>
      </c>
      <c r="L67" s="51">
        <f>1500+1500</f>
        <v>3000</v>
      </c>
      <c r="M67" s="51">
        <f>3000+3500+3500+3500+7500+3500+3500+3500+3500+3500+3500+7500</f>
        <v>49500</v>
      </c>
      <c r="N67" s="51">
        <v>1500</v>
      </c>
      <c r="O67" s="51"/>
      <c r="P67" s="51"/>
      <c r="Q67" s="51">
        <f>+H67+I67+J67+K67+L67+M67+N67+O67+P67</f>
        <v>63400</v>
      </c>
      <c r="R67" s="51">
        <f>+G67-Q67</f>
        <v>86600</v>
      </c>
      <c r="S67" s="120"/>
    </row>
    <row r="68" spans="1:20" ht="15.75" x14ac:dyDescent="0.25">
      <c r="A68" s="35">
        <v>2</v>
      </c>
      <c r="B68" s="35">
        <v>2</v>
      </c>
      <c r="C68" s="42">
        <v>3</v>
      </c>
      <c r="D68" s="35">
        <v>2</v>
      </c>
      <c r="E68" s="68"/>
      <c r="F68" s="56" t="s">
        <v>51</v>
      </c>
      <c r="G68" s="58">
        <v>39190</v>
      </c>
      <c r="H68" s="60"/>
      <c r="I68" s="60"/>
      <c r="J68" s="60">
        <v>142917.6</v>
      </c>
      <c r="K68" s="60">
        <v>113934.48</v>
      </c>
      <c r="L68" s="60"/>
      <c r="M68" s="60"/>
      <c r="N68" s="60"/>
      <c r="O68" s="60"/>
      <c r="P68" s="60"/>
      <c r="Q68" s="60">
        <f>+H68+I68+J68+K68+L68+M68+N68+O68+P68</f>
        <v>256852.08000000002</v>
      </c>
      <c r="R68" s="60">
        <f>+G68-Q68</f>
        <v>-217662.08000000002</v>
      </c>
      <c r="S68" s="121"/>
    </row>
    <row r="69" spans="1:20" ht="15.75" x14ac:dyDescent="0.25">
      <c r="A69" s="35"/>
      <c r="B69" s="35"/>
      <c r="C69" s="42"/>
      <c r="D69" s="35"/>
      <c r="E69" s="35"/>
      <c r="F69" s="56"/>
      <c r="G69" s="58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121"/>
    </row>
    <row r="70" spans="1:20" ht="16.5" thickBot="1" x14ac:dyDescent="0.3">
      <c r="A70" s="35">
        <v>2</v>
      </c>
      <c r="B70" s="35">
        <v>2</v>
      </c>
      <c r="C70" s="42">
        <v>4</v>
      </c>
      <c r="D70" s="35"/>
      <c r="E70" s="35"/>
      <c r="F70" s="54" t="s">
        <v>52</v>
      </c>
      <c r="G70" s="45">
        <f t="shared" ref="G70:L70" si="28">G71+G72</f>
        <v>309000</v>
      </c>
      <c r="H70" s="55">
        <f>H71+H72</f>
        <v>3350</v>
      </c>
      <c r="I70" s="55">
        <f t="shared" si="28"/>
        <v>11881.9</v>
      </c>
      <c r="J70" s="55">
        <f t="shared" si="28"/>
        <v>14303.01</v>
      </c>
      <c r="K70" s="55">
        <f t="shared" si="28"/>
        <v>14587.24</v>
      </c>
      <c r="L70" s="55">
        <f t="shared" si="28"/>
        <v>27113.34</v>
      </c>
      <c r="M70" s="55">
        <f>M71+M72</f>
        <v>23850.67</v>
      </c>
      <c r="N70" s="55">
        <f>N71+N72</f>
        <v>20160.36</v>
      </c>
      <c r="O70" s="55">
        <f>O71+O72</f>
        <v>19279.54</v>
      </c>
      <c r="P70" s="55">
        <f t="shared" ref="P70:Q70" si="29">P71+P72</f>
        <v>2509.1800000000003</v>
      </c>
      <c r="Q70" s="55">
        <f t="shared" si="29"/>
        <v>137035.24</v>
      </c>
      <c r="R70" s="55">
        <f>R71+R72</f>
        <v>171964.76</v>
      </c>
      <c r="S70" s="120"/>
    </row>
    <row r="71" spans="1:20" ht="15.75" x14ac:dyDescent="0.25">
      <c r="A71" s="35">
        <v>2</v>
      </c>
      <c r="B71" s="35">
        <v>2</v>
      </c>
      <c r="C71" s="42">
        <v>4</v>
      </c>
      <c r="D71" s="35">
        <v>1</v>
      </c>
      <c r="E71" s="35"/>
      <c r="F71" s="56" t="s">
        <v>53</v>
      </c>
      <c r="G71" s="57">
        <v>309000</v>
      </c>
      <c r="H71" s="60">
        <f>50+100+100+100+3000</f>
        <v>3350</v>
      </c>
      <c r="I71" s="60">
        <f>300+10431.9+300+150+100+100+300+100+100</f>
        <v>11881.9</v>
      </c>
      <c r="J71" s="60">
        <f>100+100+100+100+100+100+100+100+500+450+12553.01</f>
        <v>14303.01</v>
      </c>
      <c r="K71" s="60">
        <f>100+100+100+100+14187.24</f>
        <v>14587.24</v>
      </c>
      <c r="L71" s="60">
        <f>700+2100+2250+2250+2250+2550+9283.34+350+380+100+100+100+100+100+100+100+100+100+100+100+100+100+1800+1800+100</f>
        <v>27113.34</v>
      </c>
      <c r="M71" s="60">
        <f>11250.67+700+100+100+100+100+100+100+100+100+100+100+100+100+100+700+300+100+100+100+100+100+8400+100+100+100+100 +100+100+100</f>
        <v>23850.67</v>
      </c>
      <c r="N71" s="60">
        <f>100+100+100+100+100+100+19210.36+100+50+100+100</f>
        <v>20160.36</v>
      </c>
      <c r="O71" s="60">
        <f>100+100+800+100+100+100+100+100+14179.54+100+100+100+1000+100+100+100+100+100+100+100+100+325+100+100+575+100+100+100+100</f>
        <v>19279.54</v>
      </c>
      <c r="P71" s="60">
        <f>100+100+100+200+100+100+100+300+309.18+100+100+100+100+100+100+200+300</f>
        <v>2509.1800000000003</v>
      </c>
      <c r="Q71" s="60">
        <f>+H71+I71+J71+K71+L71+M71+N71+O71+P71</f>
        <v>137035.24</v>
      </c>
      <c r="R71" s="60">
        <f>+G71-Q71</f>
        <v>171964.76</v>
      </c>
      <c r="S71" s="121"/>
    </row>
    <row r="72" spans="1:20" ht="15.75" x14ac:dyDescent="0.25">
      <c r="A72" s="35">
        <v>2</v>
      </c>
      <c r="B72" s="35">
        <v>2</v>
      </c>
      <c r="C72" s="42">
        <v>4</v>
      </c>
      <c r="D72" s="35">
        <v>3</v>
      </c>
      <c r="E72" s="35"/>
      <c r="F72" s="56" t="s">
        <v>54</v>
      </c>
      <c r="G72" s="58"/>
      <c r="H72" s="60"/>
      <c r="I72" s="60"/>
      <c r="J72" s="60"/>
      <c r="K72" s="60"/>
      <c r="L72" s="60"/>
      <c r="M72" s="60"/>
      <c r="N72" s="60"/>
      <c r="O72" s="60"/>
      <c r="P72" s="60"/>
      <c r="Q72" s="60">
        <f>+H72+I72+J72+K72+L72+M72+N72+O72+P72</f>
        <v>0</v>
      </c>
      <c r="R72" s="60">
        <f>+G72-Q72</f>
        <v>0</v>
      </c>
      <c r="S72" s="121"/>
    </row>
    <row r="73" spans="1:20" ht="15.75" x14ac:dyDescent="0.25">
      <c r="A73" s="35"/>
      <c r="B73" s="35"/>
      <c r="C73" s="42"/>
      <c r="D73" s="35"/>
      <c r="E73" s="35"/>
      <c r="F73" s="56"/>
      <c r="G73" s="58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121"/>
    </row>
    <row r="74" spans="1:20" ht="16.5" thickBot="1" x14ac:dyDescent="0.3">
      <c r="A74" s="35">
        <v>2</v>
      </c>
      <c r="B74" s="35">
        <v>2</v>
      </c>
      <c r="C74" s="42">
        <v>5</v>
      </c>
      <c r="D74" s="35"/>
      <c r="E74" s="35"/>
      <c r="F74" s="54" t="s">
        <v>55</v>
      </c>
      <c r="G74" s="45">
        <f>G75+G80</f>
        <v>10769766</v>
      </c>
      <c r="H74" s="46">
        <f t="shared" ref="H74:J74" si="30">H77+H75</f>
        <v>852057</v>
      </c>
      <c r="I74" s="46">
        <f t="shared" si="30"/>
        <v>862026.98</v>
      </c>
      <c r="J74" s="46">
        <f t="shared" si="30"/>
        <v>868871.03999999992</v>
      </c>
      <c r="K74" s="46">
        <f>K77+K75</f>
        <v>880764.65</v>
      </c>
      <c r="L74" s="46">
        <f t="shared" ref="L74" si="31">L77+L75</f>
        <v>819463.28</v>
      </c>
      <c r="M74" s="46">
        <f t="shared" ref="M74:R74" si="32">M77+M75</f>
        <v>823880.92</v>
      </c>
      <c r="N74" s="46">
        <f t="shared" si="32"/>
        <v>829125.88</v>
      </c>
      <c r="O74" s="46">
        <f t="shared" si="32"/>
        <v>847104.19</v>
      </c>
      <c r="P74" s="46">
        <f t="shared" si="32"/>
        <v>878576.82</v>
      </c>
      <c r="Q74" s="46">
        <f t="shared" si="32"/>
        <v>7661870.7599999998</v>
      </c>
      <c r="R74" s="46">
        <f t="shared" si="32"/>
        <v>3107895.24</v>
      </c>
      <c r="S74" s="120"/>
    </row>
    <row r="75" spans="1:20" ht="31.5" x14ac:dyDescent="0.25">
      <c r="A75" s="35">
        <v>2</v>
      </c>
      <c r="B75" s="35">
        <v>2</v>
      </c>
      <c r="C75" s="42">
        <v>5</v>
      </c>
      <c r="D75" s="35">
        <v>1</v>
      </c>
      <c r="E75" s="35"/>
      <c r="F75" s="49" t="s">
        <v>56</v>
      </c>
      <c r="G75" s="57">
        <v>10423558</v>
      </c>
      <c r="H75" s="59">
        <v>843797</v>
      </c>
      <c r="I75" s="59">
        <f>835591.47+18175.51</f>
        <v>853766.98</v>
      </c>
      <c r="J75" s="59">
        <f>18321.21+842289.83</f>
        <v>860611.03999999992</v>
      </c>
      <c r="K75" s="59">
        <f>18574.41+853930.24</f>
        <v>872504.65</v>
      </c>
      <c r="L75" s="59">
        <f>17269.39+793933.89</f>
        <v>811203.28</v>
      </c>
      <c r="M75" s="59">
        <f>798257.5+17363.42</f>
        <v>815620.92</v>
      </c>
      <c r="N75" s="59">
        <f>803390.79+17475.09</f>
        <v>820865.88</v>
      </c>
      <c r="O75" s="59">
        <f>17857.83+820986.36</f>
        <v>838844.19</v>
      </c>
      <c r="P75" s="59">
        <f>851788.99+18527.83</f>
        <v>870316.82</v>
      </c>
      <c r="Q75" s="59">
        <f>+H75+I75+J75+K75+L75+M75+N75+O75+P75</f>
        <v>7587530.7599999998</v>
      </c>
      <c r="R75" s="59">
        <f>+G75-Q75</f>
        <v>2836027.24</v>
      </c>
      <c r="S75" s="121"/>
    </row>
    <row r="76" spans="1:20" ht="15.75" x14ac:dyDescent="0.25">
      <c r="A76" s="35"/>
      <c r="B76" s="35"/>
      <c r="C76" s="42"/>
      <c r="D76" s="35"/>
      <c r="E76" s="68"/>
      <c r="F76" s="56"/>
      <c r="G76" s="58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121"/>
    </row>
    <row r="77" spans="1:20" ht="32.25" thickBot="1" x14ac:dyDescent="0.3">
      <c r="A77" s="35">
        <v>2</v>
      </c>
      <c r="B77" s="35">
        <v>2</v>
      </c>
      <c r="C77" s="42">
        <v>5</v>
      </c>
      <c r="D77" s="35">
        <v>3</v>
      </c>
      <c r="E77" s="43"/>
      <c r="F77" s="54" t="s">
        <v>57</v>
      </c>
      <c r="G77" s="45">
        <f t="shared" ref="G77:Q77" si="33">G78+G79+G80</f>
        <v>346208</v>
      </c>
      <c r="H77" s="55">
        <f>H78+H79+H80</f>
        <v>8260</v>
      </c>
      <c r="I77" s="55">
        <f t="shared" si="33"/>
        <v>8260</v>
      </c>
      <c r="J77" s="55">
        <f t="shared" si="33"/>
        <v>8260</v>
      </c>
      <c r="K77" s="55">
        <f t="shared" si="33"/>
        <v>8260</v>
      </c>
      <c r="L77" s="55">
        <f t="shared" si="33"/>
        <v>8260</v>
      </c>
      <c r="M77" s="55">
        <f t="shared" si="33"/>
        <v>8260</v>
      </c>
      <c r="N77" s="55">
        <f t="shared" si="33"/>
        <v>8260</v>
      </c>
      <c r="O77" s="55">
        <f t="shared" si="33"/>
        <v>8260</v>
      </c>
      <c r="P77" s="55">
        <f t="shared" si="33"/>
        <v>8260</v>
      </c>
      <c r="Q77" s="55">
        <f t="shared" si="33"/>
        <v>74340</v>
      </c>
      <c r="R77" s="55">
        <f>R78+R79+R80</f>
        <v>271868</v>
      </c>
      <c r="S77" s="120"/>
    </row>
    <row r="78" spans="1:20" ht="15.75" x14ac:dyDescent="0.25">
      <c r="A78" s="35">
        <v>2</v>
      </c>
      <c r="B78" s="35">
        <v>2</v>
      </c>
      <c r="C78" s="42">
        <v>5</v>
      </c>
      <c r="D78" s="35">
        <v>3</v>
      </c>
      <c r="E78" s="35">
        <v>2</v>
      </c>
      <c r="F78" s="49" t="s">
        <v>58</v>
      </c>
      <c r="G78" s="57"/>
      <c r="H78" s="60">
        <v>0</v>
      </c>
      <c r="I78" s="60"/>
      <c r="J78" s="60"/>
      <c r="K78" s="60"/>
      <c r="L78" s="60"/>
      <c r="M78" s="60"/>
      <c r="N78" s="60"/>
      <c r="O78" s="60"/>
      <c r="P78" s="60"/>
      <c r="Q78" s="60">
        <f>+H78+I78+J78+K78+L78+M78+N78+O78+P78</f>
        <v>0</v>
      </c>
      <c r="R78" s="60">
        <f>+G78-Q78</f>
        <v>0</v>
      </c>
      <c r="S78" s="121"/>
    </row>
    <row r="79" spans="1:20" s="6" customFormat="1" ht="31.5" x14ac:dyDescent="0.25">
      <c r="A79" s="35">
        <v>2</v>
      </c>
      <c r="B79" s="35">
        <v>2</v>
      </c>
      <c r="C79" s="42">
        <v>5</v>
      </c>
      <c r="D79" s="35">
        <v>3</v>
      </c>
      <c r="E79" s="35">
        <v>3</v>
      </c>
      <c r="F79" s="49" t="s">
        <v>59</v>
      </c>
      <c r="G79" s="58"/>
      <c r="H79" s="60"/>
      <c r="I79" s="60"/>
      <c r="J79" s="60"/>
      <c r="K79" s="60"/>
      <c r="L79" s="60"/>
      <c r="M79" s="60"/>
      <c r="N79" s="60"/>
      <c r="O79" s="60"/>
      <c r="P79" s="60"/>
      <c r="Q79" s="60">
        <f>+H79+I79+J79+K79+L79+M79+N79+O79+P79</f>
        <v>0</v>
      </c>
      <c r="R79" s="60">
        <f>+G79-Q79</f>
        <v>0</v>
      </c>
      <c r="S79" s="121"/>
      <c r="T79" s="143"/>
    </row>
    <row r="80" spans="1:20" ht="31.5" x14ac:dyDescent="0.25">
      <c r="A80" s="35">
        <v>2</v>
      </c>
      <c r="B80" s="35">
        <v>2</v>
      </c>
      <c r="C80" s="42">
        <v>5</v>
      </c>
      <c r="D80" s="35">
        <v>3</v>
      </c>
      <c r="E80" s="35">
        <v>4</v>
      </c>
      <c r="F80" s="49" t="s">
        <v>60</v>
      </c>
      <c r="G80" s="58">
        <v>346208</v>
      </c>
      <c r="H80" s="60">
        <v>8260</v>
      </c>
      <c r="I80" s="60">
        <v>8260</v>
      </c>
      <c r="J80" s="60">
        <v>8260</v>
      </c>
      <c r="K80" s="60">
        <v>8260</v>
      </c>
      <c r="L80" s="60">
        <v>8260</v>
      </c>
      <c r="M80" s="60">
        <v>8260</v>
      </c>
      <c r="N80" s="60">
        <v>8260</v>
      </c>
      <c r="O80" s="60">
        <v>8260</v>
      </c>
      <c r="P80" s="60">
        <v>8260</v>
      </c>
      <c r="Q80" s="60">
        <f>+H80+I80+J80+K80+L80+M80+N80+O80+P80</f>
        <v>74340</v>
      </c>
      <c r="R80" s="60">
        <f>+G80-Q80</f>
        <v>271868</v>
      </c>
      <c r="S80" s="121"/>
      <c r="T80" s="144"/>
    </row>
    <row r="81" spans="1:20" ht="16.5" thickBot="1" x14ac:dyDescent="0.3">
      <c r="A81" s="35"/>
      <c r="B81" s="35"/>
      <c r="C81" s="42"/>
      <c r="D81" s="35"/>
      <c r="E81" s="35"/>
      <c r="F81" s="49"/>
      <c r="G81" s="58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121"/>
      <c r="T81" s="141"/>
    </row>
    <row r="82" spans="1:20" ht="16.5" thickBot="1" x14ac:dyDescent="0.3">
      <c r="A82" s="35">
        <v>2</v>
      </c>
      <c r="B82" s="35">
        <v>2</v>
      </c>
      <c r="C82" s="42">
        <v>6</v>
      </c>
      <c r="D82" s="35"/>
      <c r="E82" s="35"/>
      <c r="F82" s="49" t="s">
        <v>61</v>
      </c>
      <c r="G82" s="62">
        <f t="shared" ref="G82:L82" si="34">G84+G83</f>
        <v>1955017</v>
      </c>
      <c r="H82" s="63">
        <f t="shared" si="34"/>
        <v>125469</v>
      </c>
      <c r="I82" s="63">
        <f t="shared" si="34"/>
        <v>225520.55</v>
      </c>
      <c r="J82" s="63">
        <f t="shared" si="34"/>
        <v>157247.95000000001</v>
      </c>
      <c r="K82" s="63">
        <f t="shared" si="34"/>
        <v>241546.15999999997</v>
      </c>
      <c r="L82" s="63">
        <f t="shared" si="34"/>
        <v>165020.49</v>
      </c>
      <c r="M82" s="63">
        <f>M84+M83</f>
        <v>159918.92000000001</v>
      </c>
      <c r="N82" s="63">
        <f>N84+N83</f>
        <v>185401.19</v>
      </c>
      <c r="O82" s="63">
        <f>O84+O83</f>
        <v>185401</v>
      </c>
      <c r="P82" s="63">
        <f t="shared" ref="P82:Q82" si="35">P84+P83</f>
        <v>185401.19</v>
      </c>
      <c r="Q82" s="63">
        <f t="shared" si="35"/>
        <v>1630926.4500000002</v>
      </c>
      <c r="R82" s="63">
        <f>R84+R83</f>
        <v>324090.54999999993</v>
      </c>
      <c r="S82" s="120"/>
    </row>
    <row r="83" spans="1:20" ht="16.5" thickBot="1" x14ac:dyDescent="0.3">
      <c r="A83" s="69">
        <v>2</v>
      </c>
      <c r="B83" s="69">
        <v>2</v>
      </c>
      <c r="C83" s="70">
        <v>6</v>
      </c>
      <c r="D83" s="69">
        <v>2</v>
      </c>
      <c r="E83" s="69">
        <v>1</v>
      </c>
      <c r="F83" s="71" t="s">
        <v>62</v>
      </c>
      <c r="G83" s="72">
        <v>203017</v>
      </c>
      <c r="H83" s="72"/>
      <c r="I83" s="72">
        <v>18085.88</v>
      </c>
      <c r="J83" s="72"/>
      <c r="K83" s="72">
        <f>113934.48+1225.76</f>
        <v>115160.23999999999</v>
      </c>
      <c r="L83" s="72"/>
      <c r="M83" s="72"/>
      <c r="N83" s="72"/>
      <c r="O83" s="72"/>
      <c r="P83" s="72"/>
      <c r="Q83" s="72">
        <f>+H83+I83+J83+K83+L83+M83+N83+O83+P83</f>
        <v>133246.12</v>
      </c>
      <c r="R83" s="72">
        <f>+G83-Q83</f>
        <v>69770.880000000005</v>
      </c>
      <c r="S83" s="126"/>
    </row>
    <row r="84" spans="1:20" ht="15.75" x14ac:dyDescent="0.25">
      <c r="A84" s="35">
        <v>2</v>
      </c>
      <c r="B84" s="35">
        <v>2</v>
      </c>
      <c r="C84" s="42">
        <v>6</v>
      </c>
      <c r="D84" s="35">
        <v>3</v>
      </c>
      <c r="E84" s="35">
        <v>1</v>
      </c>
      <c r="F84" s="49" t="s">
        <v>63</v>
      </c>
      <c r="G84" s="58">
        <v>1752000</v>
      </c>
      <c r="H84" s="60">
        <v>125469</v>
      </c>
      <c r="I84" s="60">
        <f>40924.8+23071.95+17052+126385.92</f>
        <v>207434.66999999998</v>
      </c>
      <c r="J84" s="60">
        <v>157247.95000000001</v>
      </c>
      <c r="K84" s="60">
        <v>126385.92</v>
      </c>
      <c r="L84" s="60">
        <v>165020.49</v>
      </c>
      <c r="M84" s="60">
        <v>159918.92000000001</v>
      </c>
      <c r="N84" s="60">
        <v>185401.19</v>
      </c>
      <c r="O84" s="60">
        <v>185401</v>
      </c>
      <c r="P84" s="60">
        <v>185401.19</v>
      </c>
      <c r="Q84" s="60">
        <f>+H84+I84+J84+K84+L84+M84+N84+O84+P84</f>
        <v>1497680.33</v>
      </c>
      <c r="R84" s="60">
        <f>+G84-Q84</f>
        <v>254319.66999999993</v>
      </c>
      <c r="S84" s="121"/>
    </row>
    <row r="85" spans="1:20" ht="15.75" x14ac:dyDescent="0.25">
      <c r="A85" s="35"/>
      <c r="B85" s="35"/>
      <c r="C85" s="42"/>
      <c r="D85" s="35"/>
      <c r="E85" s="35"/>
      <c r="F85" s="49"/>
      <c r="G85" s="58"/>
      <c r="H85" s="60">
        <v>0</v>
      </c>
      <c r="I85" s="60"/>
      <c r="J85" s="60"/>
      <c r="K85" s="60"/>
      <c r="L85" s="60"/>
      <c r="M85" s="60"/>
      <c r="N85" s="60"/>
      <c r="O85" s="60"/>
      <c r="P85" s="60"/>
      <c r="Q85" s="60"/>
      <c r="R85" s="60">
        <v>0</v>
      </c>
      <c r="S85" s="121"/>
    </row>
    <row r="86" spans="1:20" ht="63.75" thickBot="1" x14ac:dyDescent="0.3">
      <c r="A86" s="35">
        <v>2</v>
      </c>
      <c r="B86" s="35">
        <v>2</v>
      </c>
      <c r="C86" s="42">
        <v>7</v>
      </c>
      <c r="D86" s="35"/>
      <c r="E86" s="43"/>
      <c r="F86" s="54" t="s">
        <v>64</v>
      </c>
      <c r="G86" s="74">
        <f>G87</f>
        <v>370000</v>
      </c>
      <c r="H86" s="46">
        <f t="shared" ref="H86:K86" si="36">SUM(H88:H92)</f>
        <v>2600</v>
      </c>
      <c r="I86" s="46">
        <f t="shared" si="36"/>
        <v>37264.089999999997</v>
      </c>
      <c r="J86" s="46">
        <f t="shared" si="36"/>
        <v>18555.580000000002</v>
      </c>
      <c r="K86" s="46">
        <f t="shared" si="36"/>
        <v>4100</v>
      </c>
      <c r="L86" s="46">
        <f t="shared" ref="L86" si="37">SUM(L88:L92)</f>
        <v>11186.92</v>
      </c>
      <c r="M86" s="46">
        <f>SUM(M88:M92)</f>
        <v>2519.98</v>
      </c>
      <c r="N86" s="46">
        <f>SUM(N88:N92)</f>
        <v>15309.5</v>
      </c>
      <c r="O86" s="46">
        <f>SUM(O88:O92)</f>
        <v>8334.7799999999988</v>
      </c>
      <c r="P86" s="46">
        <f t="shared" ref="P86" si="38">SUM(P88:P92)</f>
        <v>33491.199999999997</v>
      </c>
      <c r="Q86" s="46">
        <f>SUM(Q88:Q92)</f>
        <v>133362.04999999999</v>
      </c>
      <c r="R86" s="46">
        <f>SUM(R88:R92)</f>
        <v>236637.94999999998</v>
      </c>
      <c r="S86" s="120"/>
    </row>
    <row r="87" spans="1:20" ht="32.25" thickBot="1" x14ac:dyDescent="0.3">
      <c r="A87" s="35">
        <v>2</v>
      </c>
      <c r="B87" s="35">
        <v>2</v>
      </c>
      <c r="C87" s="42">
        <v>7</v>
      </c>
      <c r="D87" s="35">
        <v>2</v>
      </c>
      <c r="E87" s="43"/>
      <c r="F87" s="54" t="s">
        <v>65</v>
      </c>
      <c r="G87" s="62">
        <f>SUM(G89:G92)</f>
        <v>370000</v>
      </c>
      <c r="H87" s="106">
        <f t="shared" ref="H87:Q87" si="39">SUM(H88:H92)</f>
        <v>2600</v>
      </c>
      <c r="I87" s="106">
        <f t="shared" si="39"/>
        <v>37264.089999999997</v>
      </c>
      <c r="J87" s="106">
        <f t="shared" si="39"/>
        <v>18555.580000000002</v>
      </c>
      <c r="K87" s="106">
        <f t="shared" si="39"/>
        <v>4100</v>
      </c>
      <c r="L87" s="106">
        <f t="shared" si="39"/>
        <v>11186.92</v>
      </c>
      <c r="M87" s="106">
        <f t="shared" si="39"/>
        <v>2519.98</v>
      </c>
      <c r="N87" s="106">
        <f t="shared" si="39"/>
        <v>15309.5</v>
      </c>
      <c r="O87" s="106">
        <f t="shared" si="39"/>
        <v>8334.7799999999988</v>
      </c>
      <c r="P87" s="106">
        <f t="shared" si="39"/>
        <v>33491.199999999997</v>
      </c>
      <c r="Q87" s="106">
        <f t="shared" si="39"/>
        <v>133362.04999999999</v>
      </c>
      <c r="R87" s="106">
        <f>SUM(R88:R92)</f>
        <v>236637.94999999998</v>
      </c>
      <c r="S87" s="127"/>
    </row>
    <row r="88" spans="1:20" ht="47.25" x14ac:dyDescent="0.25">
      <c r="A88" s="35">
        <v>2</v>
      </c>
      <c r="B88" s="35">
        <v>2</v>
      </c>
      <c r="C88" s="42">
        <v>7</v>
      </c>
      <c r="D88" s="35">
        <v>1</v>
      </c>
      <c r="E88" s="68">
        <v>2</v>
      </c>
      <c r="F88" s="75" t="s">
        <v>66</v>
      </c>
      <c r="G88" s="74"/>
      <c r="H88" s="107"/>
      <c r="I88" s="107"/>
      <c r="J88" s="107">
        <v>12390</v>
      </c>
      <c r="K88" s="107"/>
      <c r="L88" s="107"/>
      <c r="M88" s="107"/>
      <c r="N88" s="107"/>
      <c r="O88" s="107"/>
      <c r="P88" s="107"/>
      <c r="Q88" s="107">
        <f>+H88+I88+J88+K88+L88+M88+N88+O88+P88</f>
        <v>12390</v>
      </c>
      <c r="R88" s="73">
        <f>-G88-Q88</f>
        <v>-12390</v>
      </c>
      <c r="S88" s="127"/>
    </row>
    <row r="89" spans="1:20" ht="47.25" x14ac:dyDescent="0.25">
      <c r="A89" s="35">
        <v>2</v>
      </c>
      <c r="B89" s="35">
        <v>2</v>
      </c>
      <c r="C89" s="42">
        <v>7</v>
      </c>
      <c r="D89" s="35">
        <v>2</v>
      </c>
      <c r="E89" s="68">
        <v>2</v>
      </c>
      <c r="F89" s="75" t="s">
        <v>67</v>
      </c>
      <c r="G89" s="58">
        <v>70000</v>
      </c>
      <c r="H89" s="60">
        <v>0</v>
      </c>
      <c r="I89" s="60"/>
      <c r="J89" s="60"/>
      <c r="K89" s="60"/>
      <c r="L89" s="60"/>
      <c r="M89" s="60"/>
      <c r="N89" s="60"/>
      <c r="O89" s="60"/>
      <c r="P89" s="60"/>
      <c r="Q89" s="107">
        <f>+H89+I89+J89+K89+L89+M89+N89+O89+P89</f>
        <v>0</v>
      </c>
      <c r="R89" s="73">
        <f>+G89-Q89</f>
        <v>70000</v>
      </c>
      <c r="S89" s="121"/>
    </row>
    <row r="90" spans="1:20" ht="47.25" x14ac:dyDescent="0.25">
      <c r="A90" s="35">
        <v>2</v>
      </c>
      <c r="B90" s="35">
        <v>2</v>
      </c>
      <c r="C90" s="42">
        <v>7</v>
      </c>
      <c r="D90" s="35">
        <v>2</v>
      </c>
      <c r="E90" s="68">
        <v>3</v>
      </c>
      <c r="F90" s="75" t="s">
        <v>68</v>
      </c>
      <c r="G90" s="58"/>
      <c r="H90" s="60">
        <f>G90*12</f>
        <v>0</v>
      </c>
      <c r="I90" s="60"/>
      <c r="J90" s="60"/>
      <c r="K90" s="60"/>
      <c r="L90" s="60"/>
      <c r="M90" s="60"/>
      <c r="N90" s="60"/>
      <c r="O90" s="60"/>
      <c r="P90" s="60"/>
      <c r="Q90" s="107">
        <f t="shared" ref="Q90:Q92" si="40">+H90+I90+J90+K90+L90+M90+N90+O90+P90</f>
        <v>0</v>
      </c>
      <c r="R90" s="73">
        <f>+G90-Q90</f>
        <v>0</v>
      </c>
      <c r="S90" s="121"/>
    </row>
    <row r="91" spans="1:20" ht="47.25" x14ac:dyDescent="0.25">
      <c r="A91" s="35">
        <v>2</v>
      </c>
      <c r="B91" s="35">
        <v>2</v>
      </c>
      <c r="C91" s="42">
        <v>7</v>
      </c>
      <c r="D91" s="35">
        <v>2</v>
      </c>
      <c r="E91" s="68">
        <v>4</v>
      </c>
      <c r="F91" s="75" t="s">
        <v>69</v>
      </c>
      <c r="G91" s="58">
        <v>100000</v>
      </c>
      <c r="H91" s="60"/>
      <c r="I91" s="60"/>
      <c r="J91" s="60"/>
      <c r="K91" s="60"/>
      <c r="L91" s="60"/>
      <c r="M91" s="60"/>
      <c r="N91" s="60">
        <v>13009.5</v>
      </c>
      <c r="O91" s="60"/>
      <c r="P91" s="60">
        <v>7805.7</v>
      </c>
      <c r="Q91" s="107">
        <f t="shared" si="40"/>
        <v>20815.2</v>
      </c>
      <c r="R91" s="73">
        <f>+G91-Q91</f>
        <v>79184.800000000003</v>
      </c>
      <c r="S91" s="121"/>
    </row>
    <row r="92" spans="1:20" ht="47.25" x14ac:dyDescent="0.25">
      <c r="A92" s="35">
        <v>2</v>
      </c>
      <c r="B92" s="35">
        <v>2</v>
      </c>
      <c r="C92" s="42">
        <v>7</v>
      </c>
      <c r="D92" s="35">
        <v>2</v>
      </c>
      <c r="E92" s="68">
        <v>6</v>
      </c>
      <c r="F92" s="75" t="s">
        <v>70</v>
      </c>
      <c r="G92" s="58">
        <v>200000</v>
      </c>
      <c r="H92" s="60">
        <f>1300+100+550+100+550</f>
        <v>2600</v>
      </c>
      <c r="I92" s="60">
        <f>9595.98+18218.11+1500+7000+300+100+550</f>
        <v>37264.089999999997</v>
      </c>
      <c r="J92" s="60">
        <f>700+4765.58+700</f>
        <v>6165.58</v>
      </c>
      <c r="K92" s="60">
        <f>100+600+2000+100+600+700</f>
        <v>4100</v>
      </c>
      <c r="L92" s="60">
        <f>700+600+100+900+500+700+7686.92</f>
        <v>11186.92</v>
      </c>
      <c r="M92" s="60">
        <f>600+100+100+600+419.98+600+100</f>
        <v>2519.98</v>
      </c>
      <c r="N92" s="60">
        <f>100+100+800+700+600</f>
        <v>2300</v>
      </c>
      <c r="O92" s="60">
        <f>400+500+3540+1794.78+700+700+700</f>
        <v>8334.7799999999988</v>
      </c>
      <c r="P92" s="60">
        <f>700+700+24285.5</f>
        <v>25685.5</v>
      </c>
      <c r="Q92" s="107">
        <f t="shared" si="40"/>
        <v>100156.85</v>
      </c>
      <c r="R92" s="73">
        <f>+G92-Q92</f>
        <v>99843.15</v>
      </c>
      <c r="S92" s="121"/>
      <c r="T92" s="141"/>
    </row>
    <row r="93" spans="1:20" ht="15.75" x14ac:dyDescent="0.25">
      <c r="A93" s="35"/>
      <c r="B93" s="35"/>
      <c r="C93" s="42"/>
      <c r="D93" s="35"/>
      <c r="E93" s="68"/>
      <c r="F93" s="56"/>
      <c r="G93" s="58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121"/>
    </row>
    <row r="94" spans="1:20" ht="32.25" thickBot="1" x14ac:dyDescent="0.3">
      <c r="A94" s="35">
        <v>2</v>
      </c>
      <c r="B94" s="35">
        <v>2</v>
      </c>
      <c r="C94" s="42">
        <v>8</v>
      </c>
      <c r="D94" s="35"/>
      <c r="E94" s="43"/>
      <c r="F94" s="54" t="s">
        <v>71</v>
      </c>
      <c r="G94" s="74">
        <f>SUM(G95+G96)+G98+G104</f>
        <v>3179720</v>
      </c>
      <c r="H94" s="46">
        <f t="shared" ref="H94:J94" si="41">H95+H96+H98+H104</f>
        <v>1717783.27</v>
      </c>
      <c r="I94" s="46">
        <f t="shared" si="41"/>
        <v>859382.77</v>
      </c>
      <c r="J94" s="46">
        <f t="shared" si="41"/>
        <v>1737353.07</v>
      </c>
      <c r="K94" s="46">
        <f>K95+K96+K98+K104</f>
        <v>931696.65999999992</v>
      </c>
      <c r="L94" s="46">
        <f t="shared" ref="L94" si="42">L95+L96+L98+L104</f>
        <v>1672958.1099999999</v>
      </c>
      <c r="M94" s="46">
        <f t="shared" ref="M94:R94" si="43">M95+M96+M98+M104</f>
        <v>6282789.0099999998</v>
      </c>
      <c r="N94" s="46">
        <f t="shared" si="43"/>
        <v>6862945.6200000001</v>
      </c>
      <c r="O94" s="46">
        <f t="shared" si="43"/>
        <v>2584568.6900000004</v>
      </c>
      <c r="P94" s="46">
        <f t="shared" si="43"/>
        <v>1498989.0899999999</v>
      </c>
      <c r="Q94" s="46">
        <f t="shared" si="43"/>
        <v>24148466.289999995</v>
      </c>
      <c r="R94" s="46">
        <f t="shared" si="43"/>
        <v>-20968746.289999995</v>
      </c>
      <c r="S94" s="120"/>
    </row>
    <row r="95" spans="1:20" ht="31.5" x14ac:dyDescent="0.25">
      <c r="A95" s="35">
        <v>2</v>
      </c>
      <c r="B95" s="35">
        <v>2</v>
      </c>
      <c r="C95" s="42">
        <v>8</v>
      </c>
      <c r="D95" s="35">
        <v>2</v>
      </c>
      <c r="E95" s="68"/>
      <c r="F95" s="76" t="s">
        <v>72</v>
      </c>
      <c r="G95" s="57">
        <v>111600</v>
      </c>
      <c r="H95" s="59">
        <f>60+60+7601</f>
        <v>7721</v>
      </c>
      <c r="I95" s="59">
        <f>60+60+60+11879.99</f>
        <v>12059.99</v>
      </c>
      <c r="J95" s="59">
        <f>60+60+7302.04</f>
        <v>7422.04</v>
      </c>
      <c r="K95" s="59">
        <f>60+660+7144</f>
        <v>7864</v>
      </c>
      <c r="L95" s="137">
        <f>12.78+60+60+60+8271.93</f>
        <v>8464.7100000000009</v>
      </c>
      <c r="M95" s="137">
        <f>544+120+11180.92</f>
        <v>11844.92</v>
      </c>
      <c r="N95" s="137">
        <f>60+27188.35</f>
        <v>27248.35</v>
      </c>
      <c r="O95" s="137">
        <f>11372.58+60</f>
        <v>11432.58</v>
      </c>
      <c r="P95" s="137">
        <v>8836.94</v>
      </c>
      <c r="Q95" s="59">
        <f>+H95+I95+M95+J95+K95+L95+N95+O95+P95</f>
        <v>102894.53</v>
      </c>
      <c r="R95" s="133">
        <f>+G95-Q95</f>
        <v>8705.4700000000012</v>
      </c>
      <c r="S95" s="121"/>
    </row>
    <row r="96" spans="1:20" ht="31.5" x14ac:dyDescent="0.25">
      <c r="A96" s="35">
        <v>2</v>
      </c>
      <c r="B96" s="35">
        <v>2</v>
      </c>
      <c r="C96" s="42">
        <v>8</v>
      </c>
      <c r="D96" s="35">
        <v>4</v>
      </c>
      <c r="E96" s="35"/>
      <c r="F96" s="76" t="s">
        <v>73</v>
      </c>
      <c r="G96" s="58">
        <v>0</v>
      </c>
      <c r="H96" s="60">
        <v>0</v>
      </c>
      <c r="I96" s="60"/>
      <c r="J96" s="60"/>
      <c r="K96" s="60"/>
      <c r="L96" s="136">
        <v>14160</v>
      </c>
      <c r="M96" s="136"/>
      <c r="N96" s="136"/>
      <c r="O96" s="136"/>
      <c r="P96" s="136">
        <v>10000</v>
      </c>
      <c r="Q96" s="60">
        <f>+H96+I96+J96+K96+L96+M96+N96+O96+P96</f>
        <v>24160</v>
      </c>
      <c r="R96" s="132">
        <f>+G96-Q96</f>
        <v>-24160</v>
      </c>
      <c r="S96" s="121"/>
    </row>
    <row r="97" spans="1:20" ht="15.75" x14ac:dyDescent="0.25">
      <c r="A97" s="35"/>
      <c r="B97" s="35"/>
      <c r="C97" s="42"/>
      <c r="D97" s="35"/>
      <c r="E97" s="35"/>
      <c r="F97" s="76"/>
      <c r="G97" s="58"/>
      <c r="H97" s="60"/>
      <c r="I97" s="60"/>
      <c r="J97" s="60"/>
      <c r="K97" s="60"/>
      <c r="L97" s="136"/>
      <c r="M97" s="136"/>
      <c r="N97" s="136"/>
      <c r="O97" s="136"/>
      <c r="P97" s="136"/>
      <c r="Q97" s="60"/>
      <c r="R97" s="132"/>
      <c r="S97" s="121"/>
    </row>
    <row r="98" spans="1:20" ht="32.25" thickBot="1" x14ac:dyDescent="0.3">
      <c r="A98" s="35">
        <v>2</v>
      </c>
      <c r="B98" s="35">
        <v>2</v>
      </c>
      <c r="C98" s="42">
        <v>8</v>
      </c>
      <c r="D98" s="35">
        <v>6</v>
      </c>
      <c r="E98" s="43"/>
      <c r="F98" s="77" t="s">
        <v>74</v>
      </c>
      <c r="G98" s="74">
        <f>G99+G100</f>
        <v>1332334</v>
      </c>
      <c r="H98" s="66">
        <f t="shared" ref="H98:J98" si="44">H99+H100+H101</f>
        <v>436665.85</v>
      </c>
      <c r="I98" s="66">
        <f>I99+I100+I101+I102</f>
        <v>424712.86</v>
      </c>
      <c r="J98" s="66">
        <f t="shared" si="44"/>
        <v>6981.54</v>
      </c>
      <c r="K98" s="66">
        <f t="shared" ref="K98:R98" si="45">K99+K100+K101+K102</f>
        <v>26268</v>
      </c>
      <c r="L98" s="138">
        <f t="shared" si="45"/>
        <v>609127.5</v>
      </c>
      <c r="M98" s="138">
        <f>M99+M100+M101+M102</f>
        <v>5282625.92</v>
      </c>
      <c r="N98" s="138">
        <f t="shared" si="45"/>
        <v>4115121.17</v>
      </c>
      <c r="O98" s="138">
        <f t="shared" si="45"/>
        <v>1436355</v>
      </c>
      <c r="P98" s="138">
        <f t="shared" si="45"/>
        <v>889950.03</v>
      </c>
      <c r="Q98" s="66">
        <f t="shared" si="45"/>
        <v>13227807.869999997</v>
      </c>
      <c r="R98" s="145">
        <f t="shared" si="45"/>
        <v>-11895473.869999997</v>
      </c>
      <c r="S98" s="121"/>
    </row>
    <row r="99" spans="1:20" ht="15.75" x14ac:dyDescent="0.25">
      <c r="A99" s="35">
        <v>2</v>
      </c>
      <c r="B99" s="35">
        <v>2</v>
      </c>
      <c r="C99" s="42">
        <v>8</v>
      </c>
      <c r="D99" s="35">
        <v>6</v>
      </c>
      <c r="E99" s="35">
        <v>1</v>
      </c>
      <c r="F99" s="76" t="s">
        <v>75</v>
      </c>
      <c r="G99" s="110">
        <v>1182334</v>
      </c>
      <c r="H99" s="59">
        <v>0</v>
      </c>
      <c r="I99" s="59"/>
      <c r="J99" s="59"/>
      <c r="K99" s="59"/>
      <c r="L99" s="59"/>
      <c r="M99" s="59">
        <f>38200+41875+5000000+38150</f>
        <v>5118225</v>
      </c>
      <c r="N99" s="59">
        <f>7500+7500+7500+4500+4500+4500+7500+7500+4500+5000+23302.18+10500+30069.95+10000+12500+12500+10000+6000+7500+7500+10000+6000+10000+36580+4500+4500+4500+81420+6490+15640.02+73750+2500+18290+7500+7500+5000+7500+3158+4500+4500+7500+3281.94+7500+23699.34+2500+2500+2500+2500+2500+2500+2500+2500+2500+2500+2500+2500+2500+2500+2500+2500+2500+7500+7500+7500+7500+4500+4500+4500+7500+4500+3000+5000+7500+7500+5000+5000+5000+3000+3000+3000+5000+2500+5000+5000+54280+67850+81420+16225+2051.52+4058.6+271400+206500+94990+189980+162250+206500+54280+189980+217120+118000+176410+94990+27140+845750.63+177000+138000</f>
        <v>4104857.1799999997</v>
      </c>
      <c r="O99" s="59">
        <f>295000+165200+106200+271400+189980+295000+108560</f>
        <v>1431340</v>
      </c>
      <c r="P99" s="59">
        <f>1355.03+199892+70800+413000+279</f>
        <v>685326.03</v>
      </c>
      <c r="Q99" s="59">
        <f>+H99+I99+J99+K99+L99+M99+N99+O99+P99</f>
        <v>11339748.209999999</v>
      </c>
      <c r="R99" s="59">
        <f>+G99-Q99</f>
        <v>-10157414.209999999</v>
      </c>
      <c r="S99" s="121"/>
    </row>
    <row r="100" spans="1:20" ht="15.75" x14ac:dyDescent="0.25">
      <c r="A100" s="35">
        <v>2</v>
      </c>
      <c r="B100" s="35">
        <v>2</v>
      </c>
      <c r="C100" s="42">
        <v>8</v>
      </c>
      <c r="D100" s="35">
        <v>6</v>
      </c>
      <c r="E100" s="35">
        <v>2</v>
      </c>
      <c r="F100" s="76" t="s">
        <v>76</v>
      </c>
      <c r="G100" s="58">
        <v>150000</v>
      </c>
      <c r="H100" s="60">
        <v>3799.85</v>
      </c>
      <c r="I100" s="60">
        <f>11900+826+2900+1360</f>
        <v>16986</v>
      </c>
      <c r="J100" s="60">
        <f>4761.54+670+1550</f>
        <v>6981.54</v>
      </c>
      <c r="K100" s="60">
        <f>525+3680</f>
        <v>4205</v>
      </c>
      <c r="L100" s="60">
        <f>700+1500+24780.45+17889+950+2050+8521.96</f>
        <v>56391.409999999996</v>
      </c>
      <c r="M100" s="60">
        <f>705+1500+950+1500+735+825</f>
        <v>6215</v>
      </c>
      <c r="N100" s="60">
        <v>10263.99</v>
      </c>
      <c r="O100" s="60">
        <f>2910+1400+705</f>
        <v>5015</v>
      </c>
      <c r="P100" s="60">
        <f>1400+705+1950+730</f>
        <v>4785</v>
      </c>
      <c r="Q100" s="60">
        <f>+H100+I100+J100+K100+L100+M100+N100+O100+P100</f>
        <v>114642.79</v>
      </c>
      <c r="R100" s="60">
        <f>+G100-Q100</f>
        <v>35357.210000000006</v>
      </c>
      <c r="S100" s="121"/>
      <c r="T100" s="141"/>
    </row>
    <row r="101" spans="1:20" ht="31.5" x14ac:dyDescent="0.25">
      <c r="A101" s="35">
        <v>2</v>
      </c>
      <c r="B101" s="35">
        <v>2</v>
      </c>
      <c r="C101" s="42">
        <v>8</v>
      </c>
      <c r="D101" s="35">
        <v>6</v>
      </c>
      <c r="E101" s="35">
        <v>3</v>
      </c>
      <c r="F101" s="76" t="s">
        <v>128</v>
      </c>
      <c r="G101" s="58"/>
      <c r="H101" s="60">
        <f>427556+5310</f>
        <v>432866</v>
      </c>
      <c r="I101" s="60"/>
      <c r="J101" s="60"/>
      <c r="K101" s="60">
        <f>1000+21063</f>
        <v>22063</v>
      </c>
      <c r="L101" s="60">
        <v>90000</v>
      </c>
      <c r="M101" s="60"/>
      <c r="N101" s="60"/>
      <c r="O101" s="60"/>
      <c r="P101" s="60"/>
      <c r="Q101" s="60">
        <f t="shared" ref="Q101:Q102" si="46">+H101+I101+J101+K101+L101+M101+N101+O101+P101</f>
        <v>544929</v>
      </c>
      <c r="R101" s="60">
        <f>+G101-Q101</f>
        <v>-544929</v>
      </c>
      <c r="S101" s="121"/>
    </row>
    <row r="102" spans="1:20" ht="15.75" x14ac:dyDescent="0.25">
      <c r="A102" s="35">
        <v>2</v>
      </c>
      <c r="B102" s="35">
        <v>2</v>
      </c>
      <c r="C102" s="42">
        <v>8</v>
      </c>
      <c r="D102" s="35">
        <v>6</v>
      </c>
      <c r="E102" s="35">
        <v>4</v>
      </c>
      <c r="F102" s="76" t="s">
        <v>138</v>
      </c>
      <c r="G102" s="58"/>
      <c r="H102" s="60"/>
      <c r="I102" s="60">
        <f>347694.36+60032.5</f>
        <v>407726.86</v>
      </c>
      <c r="J102" s="60"/>
      <c r="K102" s="60"/>
      <c r="L102" s="60">
        <f>59000+29500+99775+179028.59+17700+17700+60032.5</f>
        <v>462736.08999999997</v>
      </c>
      <c r="M102" s="60">
        <f>116310.92+41875</f>
        <v>158185.91999999998</v>
      </c>
      <c r="N102" s="60"/>
      <c r="O102" s="60"/>
      <c r="P102" s="60">
        <f>17700+3900+49973+59236+69030</f>
        <v>199839</v>
      </c>
      <c r="Q102" s="60">
        <f t="shared" si="46"/>
        <v>1228487.8699999999</v>
      </c>
      <c r="R102" s="60">
        <f>+G102-Q102</f>
        <v>-1228487.8699999999</v>
      </c>
      <c r="S102" s="121"/>
    </row>
    <row r="103" spans="1:20" ht="15.75" x14ac:dyDescent="0.25">
      <c r="A103" s="35"/>
      <c r="B103" s="35"/>
      <c r="C103" s="42"/>
      <c r="D103" s="35"/>
      <c r="E103" s="35"/>
      <c r="F103" s="76"/>
      <c r="G103" s="58"/>
      <c r="H103" s="60">
        <v>0</v>
      </c>
      <c r="I103" s="60"/>
      <c r="J103" s="60"/>
      <c r="K103" s="60"/>
      <c r="L103" s="60"/>
      <c r="M103" s="60"/>
      <c r="N103" s="60"/>
      <c r="O103" s="60"/>
      <c r="P103" s="60"/>
      <c r="Q103" s="60"/>
      <c r="R103" s="60">
        <v>0</v>
      </c>
      <c r="S103" s="121"/>
    </row>
    <row r="104" spans="1:20" ht="31.5" x14ac:dyDescent="0.25">
      <c r="A104" s="35">
        <v>2</v>
      </c>
      <c r="B104" s="35">
        <v>2</v>
      </c>
      <c r="C104" s="42">
        <v>8</v>
      </c>
      <c r="D104" s="35">
        <v>7</v>
      </c>
      <c r="E104" s="43"/>
      <c r="F104" s="77" t="s">
        <v>77</v>
      </c>
      <c r="G104" s="78">
        <f t="shared" ref="G104:R104" si="47">G105+G106+G107+G108+G109</f>
        <v>1735786</v>
      </c>
      <c r="H104" s="67">
        <f>H105+H106+H107+H108+H109</f>
        <v>1273396.42</v>
      </c>
      <c r="I104" s="67">
        <f t="shared" si="47"/>
        <v>422609.91999999998</v>
      </c>
      <c r="J104" s="67">
        <f t="shared" si="47"/>
        <v>1722949.49</v>
      </c>
      <c r="K104" s="67">
        <f t="shared" si="47"/>
        <v>897564.65999999992</v>
      </c>
      <c r="L104" s="67">
        <f t="shared" si="47"/>
        <v>1041205.9</v>
      </c>
      <c r="M104" s="67">
        <f t="shared" si="47"/>
        <v>988318.16999999993</v>
      </c>
      <c r="N104" s="67">
        <f>N105+N106+N107+N108+N109</f>
        <v>2720576.1</v>
      </c>
      <c r="O104" s="67">
        <f>O105+O106+O107+O108+O109</f>
        <v>1136781.1100000001</v>
      </c>
      <c r="P104" s="67">
        <f t="shared" ref="P104:Q104" si="48">P105+P106+P107+P108+P109</f>
        <v>590202.12</v>
      </c>
      <c r="Q104" s="67">
        <f t="shared" si="48"/>
        <v>10793603.889999999</v>
      </c>
      <c r="R104" s="67">
        <f t="shared" si="47"/>
        <v>-9057817.8899999987</v>
      </c>
      <c r="S104" s="120"/>
    </row>
    <row r="105" spans="1:20" ht="31.5" x14ac:dyDescent="0.25">
      <c r="A105" s="35">
        <v>2</v>
      </c>
      <c r="B105" s="35">
        <v>2</v>
      </c>
      <c r="C105" s="42">
        <v>8</v>
      </c>
      <c r="D105" s="35">
        <v>7</v>
      </c>
      <c r="E105" s="35">
        <v>1</v>
      </c>
      <c r="F105" s="56" t="s">
        <v>78</v>
      </c>
      <c r="G105" s="58">
        <v>326769</v>
      </c>
      <c r="H105" s="60">
        <v>0</v>
      </c>
      <c r="I105" s="60"/>
      <c r="J105" s="60"/>
      <c r="K105" s="60"/>
      <c r="L105" s="60"/>
      <c r="M105" s="60"/>
      <c r="N105" s="60"/>
      <c r="O105" s="60"/>
      <c r="P105" s="60"/>
      <c r="Q105" s="60">
        <f>+H105+I105+J105+K105+L105+M105+N105+O105+P105</f>
        <v>0</v>
      </c>
      <c r="R105" s="60">
        <f>+G105-Q105</f>
        <v>326769</v>
      </c>
      <c r="S105" s="121"/>
    </row>
    <row r="106" spans="1:20" ht="31.5" x14ac:dyDescent="0.25">
      <c r="A106" s="35">
        <v>2</v>
      </c>
      <c r="B106" s="35">
        <v>2</v>
      </c>
      <c r="C106" s="42">
        <v>8</v>
      </c>
      <c r="D106" s="35">
        <v>7</v>
      </c>
      <c r="E106" s="68">
        <v>3</v>
      </c>
      <c r="F106" s="56" t="s">
        <v>79</v>
      </c>
      <c r="G106" s="58">
        <v>300000</v>
      </c>
      <c r="H106" s="60"/>
      <c r="I106" s="60"/>
      <c r="J106" s="60"/>
      <c r="K106" s="60"/>
      <c r="L106" s="60"/>
      <c r="M106" s="60">
        <v>48000</v>
      </c>
      <c r="N106" s="60"/>
      <c r="O106" s="60"/>
      <c r="P106" s="60"/>
      <c r="Q106" s="60">
        <f>+H106+I106+J106+K106+L106+M106+N106+O106+P106</f>
        <v>48000</v>
      </c>
      <c r="R106" s="60">
        <f>+G106-Q106</f>
        <v>252000</v>
      </c>
      <c r="S106" s="121"/>
      <c r="T106" s="141"/>
    </row>
    <row r="107" spans="1:20" ht="15.75" x14ac:dyDescent="0.25">
      <c r="A107" s="35">
        <v>2</v>
      </c>
      <c r="B107" s="35">
        <v>2</v>
      </c>
      <c r="C107" s="42">
        <v>8</v>
      </c>
      <c r="D107" s="35">
        <v>7</v>
      </c>
      <c r="E107" s="35">
        <v>4</v>
      </c>
      <c r="F107" s="56" t="s">
        <v>80</v>
      </c>
      <c r="G107" s="58">
        <v>50000</v>
      </c>
      <c r="H107" s="60">
        <v>11800</v>
      </c>
      <c r="I107" s="60"/>
      <c r="J107" s="60"/>
      <c r="K107" s="60"/>
      <c r="L107" s="60"/>
      <c r="M107" s="60"/>
      <c r="N107" s="60"/>
      <c r="O107" s="60"/>
      <c r="P107" s="60"/>
      <c r="Q107" s="60">
        <f t="shared" ref="Q107:Q108" si="49">+H107+I107+J107+K107+L107+M107+N107+O107+P107</f>
        <v>11800</v>
      </c>
      <c r="R107" s="60">
        <f>+G107-Q107</f>
        <v>38200</v>
      </c>
      <c r="S107" s="121"/>
      <c r="T107" s="141"/>
    </row>
    <row r="108" spans="1:20" ht="31.5" x14ac:dyDescent="0.25">
      <c r="A108" s="35">
        <v>2</v>
      </c>
      <c r="B108" s="35">
        <v>2</v>
      </c>
      <c r="C108" s="42">
        <v>8</v>
      </c>
      <c r="D108" s="35">
        <v>7</v>
      </c>
      <c r="E108" s="35">
        <v>5</v>
      </c>
      <c r="F108" s="56" t="s">
        <v>81</v>
      </c>
      <c r="G108" s="58">
        <v>275023</v>
      </c>
      <c r="H108" s="60"/>
      <c r="I108" s="60">
        <v>10286</v>
      </c>
      <c r="J108" s="60">
        <v>59549.57</v>
      </c>
      <c r="K108" s="60">
        <v>19740.240000000002</v>
      </c>
      <c r="L108" s="60">
        <v>30867.48</v>
      </c>
      <c r="M108" s="60">
        <v>7410.75</v>
      </c>
      <c r="N108" s="60">
        <v>8411.1</v>
      </c>
      <c r="O108" s="60">
        <v>14318.09</v>
      </c>
      <c r="P108" s="60">
        <v>9510</v>
      </c>
      <c r="Q108" s="60">
        <f t="shared" si="49"/>
        <v>160093.23000000001</v>
      </c>
      <c r="R108" s="60">
        <f>+G108-Q108</f>
        <v>114929.76999999999</v>
      </c>
      <c r="S108" s="121"/>
      <c r="T108" s="141"/>
    </row>
    <row r="109" spans="1:20" ht="31.5" x14ac:dyDescent="0.25">
      <c r="A109" s="35">
        <v>2</v>
      </c>
      <c r="B109" s="35">
        <v>2</v>
      </c>
      <c r="C109" s="42">
        <v>8</v>
      </c>
      <c r="D109" s="35">
        <v>7</v>
      </c>
      <c r="E109" s="35">
        <v>6</v>
      </c>
      <c r="F109" s="56" t="s">
        <v>82</v>
      </c>
      <c r="G109" s="58">
        <v>783994</v>
      </c>
      <c r="H109" s="60">
        <f>47200+14750+21240+38150+31498.92+232932+436600+144225.5+295000</f>
        <v>1261596.42</v>
      </c>
      <c r="I109" s="60">
        <f>64900+144225+600+31498.92+171100</f>
        <v>412323.92</v>
      </c>
      <c r="J109" s="60">
        <f>400+400+400+660800+171100+118000+144225.5+31498.92+217267.5+53100+266208</f>
        <v>1663399.92</v>
      </c>
      <c r="K109" s="60">
        <f>11800+31498.92+144225.5+118000+171100+188800+212400</f>
        <v>877824.41999999993</v>
      </c>
      <c r="L109" s="60">
        <f>144225.5+188800+171100+118000+14750+31498.92+175584+166380</f>
        <v>1010338.42</v>
      </c>
      <c r="M109" s="60">
        <f>89798+11600+31498.92+118000+171100+17700+188800+160185+144225.5</f>
        <v>932907.41999999993</v>
      </c>
      <c r="N109" s="60">
        <f>304174.5+144225.5+7200+118000+171100+188800+1075275+660800+3700+500+500+2500+700+24190+10500</f>
        <v>2712165</v>
      </c>
      <c r="O109" s="60">
        <f>500+500+500+500+90935.52+195408+30510+5900+188800+144225.5+118000+175584+171100</f>
        <v>1122463.02</v>
      </c>
      <c r="P109" s="60">
        <f>144225.5+188800+3500+135681.12+30510+24190+5900+23600+24285.5</f>
        <v>580692.12</v>
      </c>
      <c r="Q109" s="60">
        <f>+H109+I109+J109+K109+L109+M109+N109+O109+P109</f>
        <v>10573710.659999998</v>
      </c>
      <c r="R109" s="160">
        <f>+G109-Q109</f>
        <v>-9789716.6599999983</v>
      </c>
      <c r="S109" s="121"/>
      <c r="T109" s="141"/>
    </row>
    <row r="110" spans="1:20" ht="16.5" thickBot="1" x14ac:dyDescent="0.3">
      <c r="A110" s="35"/>
      <c r="B110" s="35"/>
      <c r="C110" s="42"/>
      <c r="D110" s="35"/>
      <c r="E110" s="35"/>
      <c r="F110" s="56"/>
      <c r="G110" s="61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121"/>
    </row>
    <row r="111" spans="1:20" ht="32.25" thickBot="1" x14ac:dyDescent="0.3">
      <c r="A111" s="35">
        <v>2</v>
      </c>
      <c r="B111" s="35">
        <v>2</v>
      </c>
      <c r="C111" s="42">
        <v>9</v>
      </c>
      <c r="D111" s="35"/>
      <c r="E111" s="35"/>
      <c r="F111" s="54" t="s">
        <v>83</v>
      </c>
      <c r="G111" s="50">
        <f t="shared" ref="G111:R111" si="50">G112+G113</f>
        <v>180000</v>
      </c>
      <c r="H111" s="108">
        <f>H112+H113</f>
        <v>81827.16</v>
      </c>
      <c r="I111" s="108">
        <f t="shared" si="50"/>
        <v>7375.4</v>
      </c>
      <c r="J111" s="108">
        <f t="shared" si="50"/>
        <v>11890.140000000001</v>
      </c>
      <c r="K111" s="108">
        <f t="shared" si="50"/>
        <v>8702.4500000000007</v>
      </c>
      <c r="L111" s="108">
        <f t="shared" si="50"/>
        <v>83243.56</v>
      </c>
      <c r="M111" s="108">
        <f t="shared" si="50"/>
        <v>189915.88</v>
      </c>
      <c r="N111" s="108">
        <f>N112+N113</f>
        <v>92775.75</v>
      </c>
      <c r="O111" s="108">
        <f>O112+O113</f>
        <v>5373.91</v>
      </c>
      <c r="P111" s="108">
        <f t="shared" ref="P111:Q111" si="51">P112+P113</f>
        <v>9721.75</v>
      </c>
      <c r="Q111" s="108">
        <f t="shared" si="51"/>
        <v>490825.99999999994</v>
      </c>
      <c r="R111" s="108">
        <f t="shared" si="50"/>
        <v>-310825.99999999994</v>
      </c>
      <c r="S111" s="127"/>
    </row>
    <row r="112" spans="1:20" ht="16.5" thickBot="1" x14ac:dyDescent="0.3">
      <c r="A112" s="35">
        <v>2</v>
      </c>
      <c r="B112" s="35">
        <v>2</v>
      </c>
      <c r="C112" s="42">
        <v>9</v>
      </c>
      <c r="D112" s="35">
        <v>2</v>
      </c>
      <c r="E112" s="35"/>
      <c r="F112" s="76" t="s">
        <v>84</v>
      </c>
      <c r="G112" s="47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128"/>
    </row>
    <row r="113" spans="1:19" ht="15.75" x14ac:dyDescent="0.25">
      <c r="A113" s="35">
        <v>2</v>
      </c>
      <c r="B113" s="35">
        <v>2</v>
      </c>
      <c r="C113" s="42">
        <v>9</v>
      </c>
      <c r="D113" s="35">
        <v>2</v>
      </c>
      <c r="E113" s="35">
        <v>1</v>
      </c>
      <c r="F113" s="56" t="s">
        <v>84</v>
      </c>
      <c r="G113" s="58">
        <v>180000</v>
      </c>
      <c r="H113" s="60">
        <f>2679+340+1804.55+272+73228.45+175+100+340+25+1049.96+410+505+898.2</f>
        <v>81827.16</v>
      </c>
      <c r="I113" s="60">
        <f>1146.75+603+204+340+50+853.75+464.9+408+3100+205</f>
        <v>7375.4</v>
      </c>
      <c r="J113" s="60">
        <f>73.95+3089.2+50+25+440+4272.05+750+45+1259.99+360+408+20+330+408+358.95</f>
        <v>11890.140000000001</v>
      </c>
      <c r="K113" s="60">
        <f>1729.4+358.95+24+576+50+2393.5+90+140+360+50+839.85+360+576+1154.75</f>
        <v>8702.4500000000007</v>
      </c>
      <c r="L113" s="60">
        <f>504+20+180+913.7+76418.71+432+360+640+696.95+50+2524.2+504</f>
        <v>83243.56</v>
      </c>
      <c r="M113" s="60">
        <f>79818.43+310+11285+557.2+144+975+4482.19+504+600+1157.75+360+20+330+73308.68+11828.78+1525+808+50+1453.85+288+110</f>
        <v>189915.88</v>
      </c>
      <c r="N113" s="60">
        <f>432+179+74.95+640+504+140+749.8+88972+504+220+360</f>
        <v>92775.75</v>
      </c>
      <c r="O113" s="60">
        <f>18+432+90+504+504+149.9+432+1120+1620.01+504</f>
        <v>5373.91</v>
      </c>
      <c r="P113" s="60">
        <f>220+279+30+2400+640+90+432+432+360+1174.75+420+504+1620+1120</f>
        <v>9721.75</v>
      </c>
      <c r="Q113" s="60">
        <f>+H113+I113+J113+K113+L113+M113+N113+O113+P113</f>
        <v>490825.99999999994</v>
      </c>
      <c r="R113" s="60">
        <f>+G113-Q113</f>
        <v>-310825.99999999994</v>
      </c>
      <c r="S113" s="121"/>
    </row>
    <row r="114" spans="1:19" ht="15.75" x14ac:dyDescent="0.25">
      <c r="A114" s="35"/>
      <c r="B114" s="35"/>
      <c r="C114" s="42"/>
      <c r="D114" s="35"/>
      <c r="E114" s="35"/>
      <c r="F114" s="56"/>
      <c r="G114" s="58"/>
      <c r="H114" s="60"/>
      <c r="I114" s="60"/>
      <c r="J114" s="60"/>
      <c r="K114" s="60"/>
      <c r="L114" s="60"/>
      <c r="M114" s="60" t="s">
        <v>19</v>
      </c>
      <c r="N114" s="60"/>
      <c r="O114" s="60"/>
      <c r="P114" s="60"/>
      <c r="Q114" s="60"/>
      <c r="R114" s="60"/>
      <c r="S114" s="121"/>
    </row>
    <row r="115" spans="1:19" ht="16.5" thickBot="1" x14ac:dyDescent="0.3">
      <c r="A115" s="35">
        <v>2</v>
      </c>
      <c r="B115" s="35">
        <v>3</v>
      </c>
      <c r="C115" s="42"/>
      <c r="D115" s="35"/>
      <c r="E115" s="43"/>
      <c r="F115" s="54" t="s">
        <v>85</v>
      </c>
      <c r="G115" s="45">
        <f t="shared" ref="G115:R115" si="52">G116+G120+G123+G129+G133+G141</f>
        <v>606500</v>
      </c>
      <c r="H115" s="105">
        <f>H116+H120+H123+H129+H133+H141</f>
        <v>26666.35</v>
      </c>
      <c r="I115" s="105">
        <f t="shared" si="52"/>
        <v>93227.65</v>
      </c>
      <c r="J115" s="105">
        <f t="shared" si="52"/>
        <v>8220.2999999999993</v>
      </c>
      <c r="K115" s="105">
        <f t="shared" si="52"/>
        <v>325975.78999999998</v>
      </c>
      <c r="L115" s="105">
        <f t="shared" si="52"/>
        <v>216707.56</v>
      </c>
      <c r="M115" s="105">
        <f t="shared" si="52"/>
        <v>92740.2</v>
      </c>
      <c r="N115" s="105">
        <f t="shared" si="52"/>
        <v>125102.33</v>
      </c>
      <c r="O115" s="105">
        <f t="shared" si="52"/>
        <v>133273.91</v>
      </c>
      <c r="P115" s="105">
        <f t="shared" si="52"/>
        <v>100951.67</v>
      </c>
      <c r="Q115" s="105">
        <f t="shared" si="52"/>
        <v>1122865.7599999998</v>
      </c>
      <c r="R115" s="105">
        <f t="shared" si="52"/>
        <v>-516365.75999999989</v>
      </c>
      <c r="S115" s="127"/>
    </row>
    <row r="116" spans="1:19" ht="32.25" thickBot="1" x14ac:dyDescent="0.3">
      <c r="A116" s="35">
        <v>2</v>
      </c>
      <c r="B116" s="35">
        <v>3</v>
      </c>
      <c r="C116" s="42">
        <v>1</v>
      </c>
      <c r="D116" s="35"/>
      <c r="E116" s="43"/>
      <c r="F116" s="80" t="s">
        <v>86</v>
      </c>
      <c r="G116" s="62">
        <f>G117</f>
        <v>0</v>
      </c>
      <c r="H116" s="63">
        <f>H117</f>
        <v>0</v>
      </c>
      <c r="I116" s="63"/>
      <c r="J116" s="63"/>
      <c r="K116" s="63"/>
      <c r="L116" s="63"/>
      <c r="M116" s="63"/>
      <c r="N116" s="63"/>
      <c r="O116" s="63"/>
      <c r="P116" s="63"/>
      <c r="Q116" s="63"/>
      <c r="R116" s="63">
        <f>R117</f>
        <v>0</v>
      </c>
      <c r="S116" s="120"/>
    </row>
    <row r="117" spans="1:19" ht="31.5" x14ac:dyDescent="0.25">
      <c r="A117" s="35">
        <v>2</v>
      </c>
      <c r="B117" s="35">
        <v>3</v>
      </c>
      <c r="C117" s="42">
        <v>1</v>
      </c>
      <c r="D117" s="35">
        <v>1</v>
      </c>
      <c r="E117" s="43"/>
      <c r="F117" s="81" t="s">
        <v>87</v>
      </c>
      <c r="G117" s="58">
        <f>G118</f>
        <v>0</v>
      </c>
      <c r="H117" s="53"/>
      <c r="I117" s="53"/>
      <c r="J117" s="53"/>
      <c r="K117" s="53"/>
      <c r="L117" s="53"/>
      <c r="M117" s="53"/>
      <c r="N117" s="53"/>
      <c r="O117" s="53"/>
      <c r="P117" s="53"/>
      <c r="Q117" s="53">
        <f>+H117+I117+J117+K117+L117+M117+N117+O117+P117</f>
        <v>0</v>
      </c>
      <c r="R117" s="60">
        <f>+G117-Q117</f>
        <v>0</v>
      </c>
      <c r="S117" s="128"/>
    </row>
    <row r="118" spans="1:19" ht="31.5" x14ac:dyDescent="0.25">
      <c r="A118" s="35">
        <v>2</v>
      </c>
      <c r="B118" s="35">
        <v>3</v>
      </c>
      <c r="C118" s="42">
        <v>1</v>
      </c>
      <c r="D118" s="35">
        <v>1</v>
      </c>
      <c r="E118" s="43">
        <v>1</v>
      </c>
      <c r="F118" s="81" t="s">
        <v>87</v>
      </c>
      <c r="G118" s="58"/>
      <c r="H118" s="60">
        <v>0</v>
      </c>
      <c r="I118" s="60"/>
      <c r="J118" s="60"/>
      <c r="K118" s="60"/>
      <c r="L118" s="60"/>
      <c r="M118" s="60"/>
      <c r="N118" s="60"/>
      <c r="O118" s="60"/>
      <c r="P118" s="60"/>
      <c r="Q118" s="60">
        <f>+H118+I118+J118+K118+L118+M118+N118+O118+P118</f>
        <v>0</v>
      </c>
      <c r="R118" s="60">
        <f t="shared" ref="R118:R119" si="53">+G118-Q118</f>
        <v>0</v>
      </c>
      <c r="S118" s="121"/>
    </row>
    <row r="119" spans="1:19" ht="15.75" x14ac:dyDescent="0.25">
      <c r="A119" s="35"/>
      <c r="B119" s="35"/>
      <c r="C119" s="42"/>
      <c r="D119" s="35"/>
      <c r="E119" s="43"/>
      <c r="F119" s="80"/>
      <c r="G119" s="58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>
        <f t="shared" si="53"/>
        <v>0</v>
      </c>
      <c r="S119" s="121"/>
    </row>
    <row r="120" spans="1:19" s="5" customFormat="1" ht="16.5" thickBot="1" x14ac:dyDescent="0.3">
      <c r="A120" s="35">
        <v>2</v>
      </c>
      <c r="B120" s="35">
        <v>3</v>
      </c>
      <c r="C120" s="42">
        <v>2</v>
      </c>
      <c r="D120" s="35"/>
      <c r="E120" s="43"/>
      <c r="F120" s="80" t="s">
        <v>88</v>
      </c>
      <c r="G120" s="58"/>
      <c r="H120" s="60">
        <f t="shared" ref="H120:R120" si="54">H121</f>
        <v>0</v>
      </c>
      <c r="I120" s="60">
        <f t="shared" si="54"/>
        <v>4951</v>
      </c>
      <c r="J120" s="60">
        <f t="shared" si="54"/>
        <v>0</v>
      </c>
      <c r="K120" s="60">
        <f t="shared" si="54"/>
        <v>0</v>
      </c>
      <c r="L120" s="60">
        <f t="shared" si="54"/>
        <v>0</v>
      </c>
      <c r="M120" s="60">
        <f t="shared" si="54"/>
        <v>0</v>
      </c>
      <c r="N120" s="60">
        <f t="shared" si="54"/>
        <v>0</v>
      </c>
      <c r="O120" s="60">
        <f t="shared" si="54"/>
        <v>0</v>
      </c>
      <c r="P120" s="60">
        <f t="shared" si="54"/>
        <v>0</v>
      </c>
      <c r="Q120" s="60">
        <f t="shared" si="54"/>
        <v>4951</v>
      </c>
      <c r="R120" s="60">
        <f t="shared" si="54"/>
        <v>-4951</v>
      </c>
      <c r="S120" s="121"/>
    </row>
    <row r="121" spans="1:19" ht="15.75" x14ac:dyDescent="0.25">
      <c r="A121" s="35">
        <v>2</v>
      </c>
      <c r="B121" s="35">
        <v>3</v>
      </c>
      <c r="C121" s="42">
        <v>2</v>
      </c>
      <c r="D121" s="35">
        <v>3</v>
      </c>
      <c r="E121" s="43"/>
      <c r="F121" s="81" t="s">
        <v>89</v>
      </c>
      <c r="G121" s="57"/>
      <c r="H121" s="59">
        <v>0</v>
      </c>
      <c r="I121" s="59">
        <v>4951</v>
      </c>
      <c r="J121" s="59"/>
      <c r="K121" s="59"/>
      <c r="L121" s="59"/>
      <c r="M121" s="59"/>
      <c r="N121" s="59"/>
      <c r="O121" s="59"/>
      <c r="P121" s="59"/>
      <c r="Q121" s="59">
        <f>+H121+I121+J121+K121+L121+M121+N121+O121+P121</f>
        <v>4951</v>
      </c>
      <c r="R121" s="59">
        <f>+G121-Q121</f>
        <v>-4951</v>
      </c>
      <c r="S121" s="121"/>
    </row>
    <row r="122" spans="1:19" ht="15.75" x14ac:dyDescent="0.25">
      <c r="A122" s="35"/>
      <c r="B122" s="35"/>
      <c r="C122" s="42"/>
      <c r="D122" s="35"/>
      <c r="E122" s="43"/>
      <c r="F122" s="80"/>
      <c r="G122" s="58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128"/>
    </row>
    <row r="123" spans="1:19" ht="32.25" thickBot="1" x14ac:dyDescent="0.3">
      <c r="A123" s="35">
        <v>2</v>
      </c>
      <c r="B123" s="64">
        <v>3</v>
      </c>
      <c r="C123" s="65">
        <v>3</v>
      </c>
      <c r="D123" s="43"/>
      <c r="E123" s="43"/>
      <c r="F123" s="54" t="s">
        <v>90</v>
      </c>
      <c r="G123" s="45">
        <f t="shared" ref="G123:Q123" si="55">G124+G125+G126+G127</f>
        <v>101500</v>
      </c>
      <c r="H123" s="55">
        <f>H124+H125+H126+H127</f>
        <v>13764.7</v>
      </c>
      <c r="I123" s="55">
        <f t="shared" si="55"/>
        <v>14056</v>
      </c>
      <c r="J123" s="55">
        <f t="shared" si="55"/>
        <v>3191</v>
      </c>
      <c r="K123" s="55">
        <f t="shared" si="55"/>
        <v>0</v>
      </c>
      <c r="L123" s="55">
        <f t="shared" si="55"/>
        <v>5520</v>
      </c>
      <c r="M123" s="55">
        <f t="shared" si="55"/>
        <v>0</v>
      </c>
      <c r="N123" s="55">
        <f t="shared" si="55"/>
        <v>0</v>
      </c>
      <c r="O123" s="55">
        <f t="shared" si="55"/>
        <v>1888</v>
      </c>
      <c r="P123" s="55">
        <f t="shared" si="55"/>
        <v>0</v>
      </c>
      <c r="Q123" s="55">
        <f t="shared" si="55"/>
        <v>38419.699999999997</v>
      </c>
      <c r="R123" s="55">
        <f>R124+R125+R126+R127</f>
        <v>63080.3</v>
      </c>
      <c r="S123" s="120"/>
    </row>
    <row r="124" spans="1:19" ht="15.75" x14ac:dyDescent="0.25">
      <c r="A124" s="35">
        <v>2</v>
      </c>
      <c r="B124" s="35">
        <v>3</v>
      </c>
      <c r="C124" s="42">
        <v>3</v>
      </c>
      <c r="D124" s="35">
        <v>1</v>
      </c>
      <c r="E124" s="35"/>
      <c r="F124" s="76" t="s">
        <v>91</v>
      </c>
      <c r="G124" s="57">
        <v>68000</v>
      </c>
      <c r="H124" s="59">
        <v>13764.7</v>
      </c>
      <c r="I124" s="59">
        <f>9+3191</f>
        <v>3200</v>
      </c>
      <c r="J124" s="59">
        <v>3191</v>
      </c>
      <c r="K124" s="59"/>
      <c r="L124" s="59"/>
      <c r="M124" s="59"/>
      <c r="N124" s="59"/>
      <c r="O124" s="59"/>
      <c r="P124" s="59"/>
      <c r="Q124" s="59">
        <f>+H124+I124+J124+K124+L124+M124+N124+O124+P124</f>
        <v>20155.7</v>
      </c>
      <c r="R124" s="59">
        <f>+G124-Q124</f>
        <v>47844.3</v>
      </c>
      <c r="S124" s="121"/>
    </row>
    <row r="125" spans="1:19" ht="31.5" x14ac:dyDescent="0.25">
      <c r="A125" s="35">
        <v>2</v>
      </c>
      <c r="B125" s="35">
        <v>3</v>
      </c>
      <c r="C125" s="42">
        <v>3</v>
      </c>
      <c r="D125" s="35">
        <v>2</v>
      </c>
      <c r="E125" s="35"/>
      <c r="F125" s="76" t="s">
        <v>92</v>
      </c>
      <c r="G125" s="58">
        <v>23000</v>
      </c>
      <c r="H125" s="60">
        <v>0</v>
      </c>
      <c r="I125" s="60"/>
      <c r="J125" s="60"/>
      <c r="K125" s="60"/>
      <c r="L125" s="60"/>
      <c r="M125" s="60"/>
      <c r="N125" s="60"/>
      <c r="O125" s="60"/>
      <c r="P125" s="60"/>
      <c r="Q125" s="60">
        <f>+H125+I125+J125+K125+L125+M125+N125+O125+P125</f>
        <v>0</v>
      </c>
      <c r="R125" s="60">
        <f>+G125-Q125</f>
        <v>23000</v>
      </c>
      <c r="S125" s="121"/>
    </row>
    <row r="126" spans="1:19" s="9" customFormat="1" ht="31.5" x14ac:dyDescent="0.25">
      <c r="A126" s="35">
        <v>2</v>
      </c>
      <c r="B126" s="35">
        <v>3</v>
      </c>
      <c r="C126" s="42">
        <v>3</v>
      </c>
      <c r="D126" s="35">
        <v>3</v>
      </c>
      <c r="E126" s="35"/>
      <c r="F126" s="76" t="s">
        <v>93</v>
      </c>
      <c r="G126" s="58">
        <v>0</v>
      </c>
      <c r="H126" s="60">
        <v>0</v>
      </c>
      <c r="I126" s="60">
        <v>10856</v>
      </c>
      <c r="J126" s="60"/>
      <c r="K126" s="60"/>
      <c r="L126" s="60"/>
      <c r="M126" s="60"/>
      <c r="N126" s="60"/>
      <c r="O126" s="60">
        <v>1888</v>
      </c>
      <c r="P126" s="60"/>
      <c r="Q126" s="60">
        <f t="shared" ref="Q126:Q127" si="56">+H126+I126+J126+K126+L126+M126+N126+O126+P126</f>
        <v>12744</v>
      </c>
      <c r="R126" s="60">
        <f>+G126-Q126</f>
        <v>-12744</v>
      </c>
      <c r="S126" s="121"/>
    </row>
    <row r="127" spans="1:19" s="9" customFormat="1" ht="31.5" x14ac:dyDescent="0.25">
      <c r="A127" s="35">
        <v>2</v>
      </c>
      <c r="B127" s="35">
        <v>3</v>
      </c>
      <c r="C127" s="42">
        <v>3</v>
      </c>
      <c r="D127" s="35">
        <v>4</v>
      </c>
      <c r="E127" s="35"/>
      <c r="F127" s="76" t="s">
        <v>94</v>
      </c>
      <c r="G127" s="58">
        <v>10500</v>
      </c>
      <c r="H127" s="60"/>
      <c r="I127" s="60"/>
      <c r="J127" s="60"/>
      <c r="K127" s="60"/>
      <c r="L127" s="60">
        <f>2700+1350+1470</f>
        <v>5520</v>
      </c>
      <c r="M127" s="60"/>
      <c r="N127" s="60"/>
      <c r="O127" s="60"/>
      <c r="P127" s="60"/>
      <c r="Q127" s="60">
        <f t="shared" si="56"/>
        <v>5520</v>
      </c>
      <c r="R127" s="60">
        <f>+G127-Q127</f>
        <v>4980</v>
      </c>
      <c r="S127" s="121"/>
    </row>
    <row r="128" spans="1:19" s="10" customFormat="1" ht="15.75" x14ac:dyDescent="0.25">
      <c r="A128" s="35"/>
      <c r="B128" s="35"/>
      <c r="C128" s="42"/>
      <c r="D128" s="35"/>
      <c r="E128" s="35"/>
      <c r="F128" s="76"/>
      <c r="G128" s="58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121"/>
    </row>
    <row r="129" spans="1:20" ht="48" thickBot="1" x14ac:dyDescent="0.3">
      <c r="A129" s="43">
        <v>2</v>
      </c>
      <c r="B129" s="43">
        <v>3</v>
      </c>
      <c r="C129" s="82">
        <v>7</v>
      </c>
      <c r="D129" s="43"/>
      <c r="E129" s="43"/>
      <c r="F129" s="77" t="s">
        <v>95</v>
      </c>
      <c r="G129" s="45">
        <f t="shared" ref="G129:R130" si="57">G130</f>
        <v>300000</v>
      </c>
      <c r="H129" s="45">
        <f t="shared" si="57"/>
        <v>0</v>
      </c>
      <c r="I129" s="45">
        <f t="shared" si="57"/>
        <v>0</v>
      </c>
      <c r="J129" s="45">
        <f t="shared" si="57"/>
        <v>0</v>
      </c>
      <c r="K129" s="45">
        <f t="shared" si="57"/>
        <v>100000</v>
      </c>
      <c r="L129" s="45">
        <f t="shared" si="57"/>
        <v>0</v>
      </c>
      <c r="M129" s="45">
        <f t="shared" si="57"/>
        <v>0</v>
      </c>
      <c r="N129" s="45">
        <f t="shared" si="57"/>
        <v>0</v>
      </c>
      <c r="O129" s="45">
        <f t="shared" si="57"/>
        <v>100000</v>
      </c>
      <c r="P129" s="45">
        <f t="shared" si="57"/>
        <v>0</v>
      </c>
      <c r="Q129" s="45">
        <f t="shared" si="57"/>
        <v>200000</v>
      </c>
      <c r="R129" s="45">
        <f>R130</f>
        <v>100000</v>
      </c>
      <c r="S129" s="121"/>
    </row>
    <row r="130" spans="1:20" ht="32.25" thickBot="1" x14ac:dyDescent="0.3">
      <c r="A130" s="43">
        <v>2</v>
      </c>
      <c r="B130" s="43">
        <v>3</v>
      </c>
      <c r="C130" s="82">
        <v>7</v>
      </c>
      <c r="D130" s="43">
        <v>1</v>
      </c>
      <c r="E130" s="43"/>
      <c r="F130" s="77" t="s">
        <v>96</v>
      </c>
      <c r="G130" s="45">
        <f t="shared" si="57"/>
        <v>300000</v>
      </c>
      <c r="H130" s="45">
        <f t="shared" si="57"/>
        <v>0</v>
      </c>
      <c r="I130" s="45">
        <f t="shared" si="57"/>
        <v>0</v>
      </c>
      <c r="J130" s="45">
        <f t="shared" si="57"/>
        <v>0</v>
      </c>
      <c r="K130" s="45">
        <f t="shared" si="57"/>
        <v>100000</v>
      </c>
      <c r="L130" s="45">
        <f t="shared" si="57"/>
        <v>0</v>
      </c>
      <c r="M130" s="45">
        <f t="shared" si="57"/>
        <v>0</v>
      </c>
      <c r="N130" s="45">
        <f t="shared" si="57"/>
        <v>0</v>
      </c>
      <c r="O130" s="45">
        <f t="shared" si="57"/>
        <v>100000</v>
      </c>
      <c r="P130" s="45">
        <f t="shared" si="57"/>
        <v>0</v>
      </c>
      <c r="Q130" s="45">
        <f>Q131</f>
        <v>200000</v>
      </c>
      <c r="R130" s="48">
        <f t="shared" si="57"/>
        <v>100000</v>
      </c>
      <c r="S130" s="121"/>
    </row>
    <row r="131" spans="1:20" ht="15.75" x14ac:dyDescent="0.25">
      <c r="A131" s="68">
        <v>2</v>
      </c>
      <c r="B131" s="68">
        <v>3</v>
      </c>
      <c r="C131" s="83">
        <v>7</v>
      </c>
      <c r="D131" s="68">
        <v>1</v>
      </c>
      <c r="E131" s="68">
        <v>1</v>
      </c>
      <c r="F131" s="56" t="s">
        <v>97</v>
      </c>
      <c r="G131" s="73">
        <v>300000</v>
      </c>
      <c r="H131" s="59"/>
      <c r="I131" s="59"/>
      <c r="J131" s="59"/>
      <c r="K131" s="59">
        <v>100000</v>
      </c>
      <c r="L131" s="59"/>
      <c r="M131" s="59"/>
      <c r="N131" s="59"/>
      <c r="O131" s="59">
        <v>100000</v>
      </c>
      <c r="P131" s="59"/>
      <c r="Q131" s="59">
        <f>+H131+I131+J131+K131+L131+M131+N131+O131+P131</f>
        <v>200000</v>
      </c>
      <c r="R131" s="59">
        <f>+G131-Q131</f>
        <v>100000</v>
      </c>
      <c r="S131" s="121"/>
    </row>
    <row r="132" spans="1:20" ht="15.75" x14ac:dyDescent="0.25">
      <c r="A132" s="35"/>
      <c r="B132" s="35"/>
      <c r="C132" s="42"/>
      <c r="D132" s="35"/>
      <c r="E132" s="35"/>
      <c r="F132" s="56"/>
      <c r="G132" s="58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121"/>
    </row>
    <row r="133" spans="1:20" ht="16.5" thickBot="1" x14ac:dyDescent="0.3">
      <c r="A133" s="35">
        <v>2</v>
      </c>
      <c r="B133" s="35">
        <v>3</v>
      </c>
      <c r="C133" s="42">
        <v>9</v>
      </c>
      <c r="D133" s="35"/>
      <c r="E133" s="43"/>
      <c r="F133" s="54" t="s">
        <v>98</v>
      </c>
      <c r="G133" s="78">
        <f t="shared" ref="G133:I133" si="58">SUM(G134:G138)</f>
        <v>205000</v>
      </c>
      <c r="H133" s="78">
        <f>SUM(H134:H138)</f>
        <v>12901.65</v>
      </c>
      <c r="I133" s="142">
        <f t="shared" si="58"/>
        <v>20259.25</v>
      </c>
      <c r="J133" s="142">
        <f t="shared" ref="J133:L133" si="59">SUM(J134:J138)</f>
        <v>5029.3</v>
      </c>
      <c r="K133" s="142">
        <f t="shared" si="59"/>
        <v>225975.78999999998</v>
      </c>
      <c r="L133" s="142">
        <f t="shared" si="59"/>
        <v>119005.56</v>
      </c>
      <c r="M133" s="142">
        <f>SUM(M134:M138)</f>
        <v>35156.199999999997</v>
      </c>
      <c r="N133" s="142">
        <f>SUM(N134:N138)</f>
        <v>125102.33</v>
      </c>
      <c r="O133" s="142">
        <f>SUM(O134:O138)</f>
        <v>31385.91</v>
      </c>
      <c r="P133" s="142">
        <f t="shared" ref="P133:Q133" si="60">SUM(P134:P138)</f>
        <v>100951.67</v>
      </c>
      <c r="Q133" s="142">
        <f t="shared" si="60"/>
        <v>675767.65999999992</v>
      </c>
      <c r="R133" s="78">
        <f>SUM(R134:R138)</f>
        <v>-470767.65999999992</v>
      </c>
      <c r="S133" s="117"/>
    </row>
    <row r="134" spans="1:20" ht="15.75" x14ac:dyDescent="0.25">
      <c r="A134" s="35">
        <v>2</v>
      </c>
      <c r="B134" s="35">
        <v>3</v>
      </c>
      <c r="C134" s="42">
        <v>9</v>
      </c>
      <c r="D134" s="35">
        <v>1</v>
      </c>
      <c r="E134" s="35"/>
      <c r="F134" s="56" t="s">
        <v>99</v>
      </c>
      <c r="G134" s="57">
        <v>15000</v>
      </c>
      <c r="H134" s="60"/>
      <c r="I134" s="60"/>
      <c r="J134" s="60"/>
      <c r="K134" s="60"/>
      <c r="L134" s="60"/>
      <c r="M134" s="60"/>
      <c r="N134" s="60">
        <v>3650</v>
      </c>
      <c r="O134" s="60"/>
      <c r="P134" s="60"/>
      <c r="Q134" s="60">
        <f>+H134+I134+J134+K134+L134+M134+N134+O134+P134</f>
        <v>3650</v>
      </c>
      <c r="R134" s="60">
        <f>+G134-Q134</f>
        <v>11350</v>
      </c>
      <c r="S134" s="121"/>
    </row>
    <row r="135" spans="1:20" ht="47.25" x14ac:dyDescent="0.25">
      <c r="A135" s="35">
        <v>2</v>
      </c>
      <c r="B135" s="35">
        <v>3</v>
      </c>
      <c r="C135" s="42">
        <v>9</v>
      </c>
      <c r="D135" s="35">
        <v>2</v>
      </c>
      <c r="E135" s="35"/>
      <c r="F135" s="56" t="s">
        <v>100</v>
      </c>
      <c r="G135" s="58">
        <v>110000</v>
      </c>
      <c r="H135" s="60"/>
      <c r="I135" s="60">
        <f>9+3191+5422.1</f>
        <v>8622.1</v>
      </c>
      <c r="J135" s="60"/>
      <c r="K135" s="60">
        <f>91500+3980+83190</f>
        <v>178670</v>
      </c>
      <c r="L135" s="60">
        <f>31057.49+950+71957.15</f>
        <v>103964.64</v>
      </c>
      <c r="M135" s="60">
        <f>21234.1+1140</f>
        <v>22374.1</v>
      </c>
      <c r="N135" s="60">
        <f>13487.78+6148.32+72570</f>
        <v>92206.1</v>
      </c>
      <c r="O135" s="60"/>
      <c r="P135" s="60">
        <f>926+239+4729.95+66506.6</f>
        <v>72401.55</v>
      </c>
      <c r="Q135" s="60">
        <f>+H135+I135+J135+K135+L135+M135+N135+O135+P135</f>
        <v>478238.48999999993</v>
      </c>
      <c r="R135" s="60">
        <f>+G135-Q135</f>
        <v>-368238.48999999993</v>
      </c>
      <c r="S135" s="121"/>
      <c r="T135" s="141"/>
    </row>
    <row r="136" spans="1:20" ht="31.5" x14ac:dyDescent="0.25">
      <c r="A136" s="35">
        <v>2</v>
      </c>
      <c r="B136" s="68">
        <v>3</v>
      </c>
      <c r="C136" s="68">
        <v>9</v>
      </c>
      <c r="D136" s="35">
        <v>5</v>
      </c>
      <c r="E136" s="35"/>
      <c r="F136" s="84" t="s">
        <v>101</v>
      </c>
      <c r="G136" s="58">
        <v>25000</v>
      </c>
      <c r="H136" s="60"/>
      <c r="I136" s="60">
        <f>20+1631.55+293.85</f>
        <v>1945.4</v>
      </c>
      <c r="J136" s="60">
        <v>293.85000000000002</v>
      </c>
      <c r="K136" s="60"/>
      <c r="L136" s="60">
        <v>7265.92</v>
      </c>
      <c r="M136" s="60"/>
      <c r="N136" s="60"/>
      <c r="O136" s="60"/>
      <c r="P136" s="60"/>
      <c r="Q136" s="60">
        <f t="shared" ref="Q136:Q139" si="61">+H136+I136+J136+K136+L136+M136+N136+O136+P136</f>
        <v>9505.17</v>
      </c>
      <c r="R136" s="60">
        <f>+G136-Q136</f>
        <v>15494.83</v>
      </c>
      <c r="S136" s="121"/>
    </row>
    <row r="137" spans="1:20" ht="31.5" x14ac:dyDescent="0.25">
      <c r="A137" s="35">
        <v>2</v>
      </c>
      <c r="B137" s="35">
        <v>3</v>
      </c>
      <c r="C137" s="42">
        <v>9</v>
      </c>
      <c r="D137" s="35">
        <v>8</v>
      </c>
      <c r="E137" s="35"/>
      <c r="F137" s="81" t="s">
        <v>102</v>
      </c>
      <c r="G137" s="58">
        <v>35000</v>
      </c>
      <c r="H137" s="60"/>
      <c r="I137" s="60">
        <f>767+6537.2</f>
        <v>7304.2</v>
      </c>
      <c r="J137" s="60">
        <f>790.6+150+137.8</f>
        <v>1078.4000000000001</v>
      </c>
      <c r="K137" s="60">
        <v>95</v>
      </c>
      <c r="L137" s="60">
        <f>6700+950</f>
        <v>7650</v>
      </c>
      <c r="M137" s="60">
        <f>1273+1100+1950+1600+1734.6</f>
        <v>7657.6</v>
      </c>
      <c r="N137" s="60">
        <f>10035.9+1999.97+550+798+2550+550+798</f>
        <v>17281.87</v>
      </c>
      <c r="O137" s="60"/>
      <c r="P137" s="60">
        <v>28450.12</v>
      </c>
      <c r="Q137" s="60">
        <f t="shared" si="61"/>
        <v>69517.19</v>
      </c>
      <c r="R137" s="60">
        <f>+G137-Q137</f>
        <v>-34517.19</v>
      </c>
      <c r="S137" s="121"/>
    </row>
    <row r="138" spans="1:20" ht="31.5" x14ac:dyDescent="0.25">
      <c r="A138" s="35">
        <v>2</v>
      </c>
      <c r="B138" s="35">
        <v>3</v>
      </c>
      <c r="C138" s="42">
        <v>9</v>
      </c>
      <c r="D138" s="35">
        <v>9</v>
      </c>
      <c r="E138" s="35"/>
      <c r="F138" s="81" t="s">
        <v>103</v>
      </c>
      <c r="G138" s="58">
        <v>20000</v>
      </c>
      <c r="H138" s="60">
        <f>6698+1216.8+4210+776.85</f>
        <v>12901.65</v>
      </c>
      <c r="I138" s="60">
        <f>857.8+1479.75+50</f>
        <v>2387.5500000000002</v>
      </c>
      <c r="J138" s="60">
        <f>517.9+1547.65+608.75+982.75</f>
        <v>3657.05</v>
      </c>
      <c r="K138" s="60">
        <f>2247.4+1524+18321.69+8027.54+2300+356.9+4530+7560.36+97.95+2244.95</f>
        <v>47210.789999999994</v>
      </c>
      <c r="L138" s="60">
        <f>25+100</f>
        <v>125</v>
      </c>
      <c r="M138" s="60">
        <f>3295+517.9+1311.6</f>
        <v>5124.5</v>
      </c>
      <c r="N138" s="60">
        <f>3650+6839.74+691.77+100+682.85</f>
        <v>11964.36</v>
      </c>
      <c r="O138" s="60">
        <f>16140.8+12704.56+1264+1276.55</f>
        <v>31385.91</v>
      </c>
      <c r="P138" s="60">
        <v>100</v>
      </c>
      <c r="Q138" s="60">
        <f t="shared" si="61"/>
        <v>114856.81</v>
      </c>
      <c r="R138" s="60">
        <f>+G138-Q138</f>
        <v>-94856.81</v>
      </c>
      <c r="S138" s="121"/>
    </row>
    <row r="139" spans="1:20" ht="15.75" x14ac:dyDescent="0.25">
      <c r="A139" s="35">
        <v>2</v>
      </c>
      <c r="B139" s="35">
        <v>3</v>
      </c>
      <c r="C139" s="42">
        <v>9</v>
      </c>
      <c r="D139" s="35">
        <v>9</v>
      </c>
      <c r="E139" s="35">
        <v>2</v>
      </c>
      <c r="F139" s="81" t="s">
        <v>104</v>
      </c>
      <c r="G139" s="58"/>
      <c r="H139" s="60">
        <v>0</v>
      </c>
      <c r="I139" s="60"/>
      <c r="J139" s="60"/>
      <c r="K139" s="60"/>
      <c r="L139" s="60"/>
      <c r="M139" s="60"/>
      <c r="N139" s="60"/>
      <c r="O139" s="60"/>
      <c r="P139" s="60"/>
      <c r="Q139" s="60">
        <f t="shared" si="61"/>
        <v>0</v>
      </c>
      <c r="R139" s="60">
        <v>0</v>
      </c>
      <c r="S139" s="121"/>
    </row>
    <row r="140" spans="1:20" ht="15.75" x14ac:dyDescent="0.25">
      <c r="A140" s="35"/>
      <c r="B140" s="35"/>
      <c r="C140" s="42"/>
      <c r="D140" s="35"/>
      <c r="E140" s="35"/>
      <c r="F140" s="56"/>
      <c r="G140" s="58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121"/>
    </row>
    <row r="141" spans="1:20" ht="32.25" thickBot="1" x14ac:dyDescent="0.3">
      <c r="A141" s="35">
        <v>2</v>
      </c>
      <c r="B141" s="35">
        <v>6</v>
      </c>
      <c r="C141" s="42"/>
      <c r="D141" s="35"/>
      <c r="E141" s="43"/>
      <c r="F141" s="54" t="s">
        <v>105</v>
      </c>
      <c r="G141" s="46">
        <f t="shared" ref="G141:L141" si="62">G142+G150+G154</f>
        <v>0</v>
      </c>
      <c r="H141" s="46">
        <f>H142+H150+H154</f>
        <v>0</v>
      </c>
      <c r="I141" s="46">
        <f t="shared" si="62"/>
        <v>53961.4</v>
      </c>
      <c r="J141" s="46">
        <f t="shared" si="62"/>
        <v>0</v>
      </c>
      <c r="K141" s="46">
        <f t="shared" si="62"/>
        <v>0</v>
      </c>
      <c r="L141" s="46">
        <f t="shared" si="62"/>
        <v>92182</v>
      </c>
      <c r="M141" s="46">
        <f>M142+M150+M154</f>
        <v>57584</v>
      </c>
      <c r="N141" s="46">
        <f t="shared" ref="N141:Q141" si="63">N142+N150+N154</f>
        <v>0</v>
      </c>
      <c r="O141" s="46">
        <f t="shared" si="63"/>
        <v>0</v>
      </c>
      <c r="P141" s="46">
        <f t="shared" si="63"/>
        <v>0</v>
      </c>
      <c r="Q141" s="46">
        <f t="shared" si="63"/>
        <v>203727.4</v>
      </c>
      <c r="R141" s="46">
        <f>R142+R150+R154</f>
        <v>-203727.4</v>
      </c>
      <c r="S141" s="120"/>
    </row>
    <row r="142" spans="1:20" ht="16.5" thickBot="1" x14ac:dyDescent="0.3">
      <c r="A142" s="35">
        <v>2</v>
      </c>
      <c r="B142" s="35">
        <v>6</v>
      </c>
      <c r="C142" s="42">
        <v>1</v>
      </c>
      <c r="D142" s="35"/>
      <c r="E142" s="68"/>
      <c r="F142" s="77" t="s">
        <v>106</v>
      </c>
      <c r="G142" s="47">
        <f>G144+G145+G146+G148+G149</f>
        <v>0</v>
      </c>
      <c r="H142" s="109">
        <f>+H143+H144+H145+H146+H147+H148</f>
        <v>0</v>
      </c>
      <c r="I142" s="109">
        <f>+I143+I144+I145+I146+I147+I148</f>
        <v>53961.4</v>
      </c>
      <c r="J142" s="109">
        <f t="shared" ref="J142:P142" si="64">+J143+J144+J145+J146+J147+J148</f>
        <v>0</v>
      </c>
      <c r="K142" s="109">
        <f t="shared" si="64"/>
        <v>0</v>
      </c>
      <c r="L142" s="109">
        <f t="shared" si="64"/>
        <v>92182</v>
      </c>
      <c r="M142" s="109">
        <f t="shared" si="64"/>
        <v>57584</v>
      </c>
      <c r="N142" s="109">
        <f t="shared" si="64"/>
        <v>0</v>
      </c>
      <c r="O142" s="109">
        <f t="shared" si="64"/>
        <v>0</v>
      </c>
      <c r="P142" s="109">
        <f t="shared" si="64"/>
        <v>0</v>
      </c>
      <c r="Q142" s="109">
        <f>+Q143+Q144+Q145+Q146+Q147+Q148</f>
        <v>203727.4</v>
      </c>
      <c r="R142" s="109">
        <f>+R143+R144+R145+R146+R147+R148</f>
        <v>-203727.4</v>
      </c>
      <c r="S142" s="126"/>
    </row>
    <row r="143" spans="1:20" ht="15.75" x14ac:dyDescent="0.25">
      <c r="A143" s="35">
        <v>2</v>
      </c>
      <c r="B143" s="35">
        <v>6</v>
      </c>
      <c r="C143" s="42">
        <v>8</v>
      </c>
      <c r="D143" s="35">
        <v>8</v>
      </c>
      <c r="E143" s="68"/>
      <c r="F143" s="85" t="s">
        <v>107</v>
      </c>
      <c r="G143" s="58">
        <f>G145+G146+G147+G149+G150</f>
        <v>0</v>
      </c>
      <c r="H143" s="73">
        <f>H145+H146+H147+H149+H150</f>
        <v>0</v>
      </c>
      <c r="I143" s="73"/>
      <c r="J143" s="73"/>
      <c r="K143" s="73"/>
      <c r="L143" s="73"/>
      <c r="M143" s="73"/>
      <c r="N143" s="73"/>
      <c r="O143" s="73"/>
      <c r="P143" s="73"/>
      <c r="Q143" s="73">
        <f>+H143+I143+J143+K143+L143+M143+N143+O143+P143</f>
        <v>0</v>
      </c>
      <c r="R143" s="73">
        <f t="shared" ref="R143:R148" si="65">+G143-Q143</f>
        <v>0</v>
      </c>
      <c r="S143" s="126"/>
    </row>
    <row r="144" spans="1:20" ht="31.5" x14ac:dyDescent="0.25">
      <c r="A144" s="35">
        <v>2</v>
      </c>
      <c r="B144" s="35">
        <v>6</v>
      </c>
      <c r="C144" s="42">
        <v>1</v>
      </c>
      <c r="D144" s="35">
        <v>1</v>
      </c>
      <c r="E144" s="68"/>
      <c r="F144" s="76" t="s">
        <v>108</v>
      </c>
      <c r="G144" s="58"/>
      <c r="H144" s="60"/>
      <c r="I144" s="60"/>
      <c r="J144" s="60"/>
      <c r="K144" s="60"/>
      <c r="L144" s="60"/>
      <c r="M144" s="60"/>
      <c r="N144" s="60"/>
      <c r="O144" s="60"/>
      <c r="P144" s="60"/>
      <c r="Q144" s="73">
        <f>+H144+I144+J144+K144+L144+M144+N144+O144+P144</f>
        <v>0</v>
      </c>
      <c r="R144" s="60">
        <f t="shared" si="65"/>
        <v>0</v>
      </c>
      <c r="S144" s="121"/>
    </row>
    <row r="145" spans="1:21" ht="31.5" customHeight="1" x14ac:dyDescent="0.25">
      <c r="A145" s="35">
        <v>2</v>
      </c>
      <c r="B145" s="35">
        <v>6</v>
      </c>
      <c r="C145" s="42">
        <v>1</v>
      </c>
      <c r="D145" s="35">
        <v>4</v>
      </c>
      <c r="E145" s="68"/>
      <c r="F145" s="76" t="s">
        <v>109</v>
      </c>
      <c r="G145" s="58"/>
      <c r="H145" s="60"/>
      <c r="I145" s="60">
        <v>53961.4</v>
      </c>
      <c r="J145" s="60"/>
      <c r="K145" s="60"/>
      <c r="L145" s="60">
        <f>56081+5657+30444</f>
        <v>92182</v>
      </c>
      <c r="M145" s="60">
        <v>57584</v>
      </c>
      <c r="N145" s="60"/>
      <c r="O145" s="60"/>
      <c r="P145" s="60"/>
      <c r="Q145" s="73">
        <f>+H145+I145+J145+K145+L145+M145+N145+O145+P145</f>
        <v>203727.4</v>
      </c>
      <c r="R145" s="60">
        <f t="shared" si="65"/>
        <v>-203727.4</v>
      </c>
      <c r="S145" s="121"/>
      <c r="T145" s="141"/>
    </row>
    <row r="146" spans="1:21" ht="31.5" customHeight="1" x14ac:dyDescent="0.25">
      <c r="A146" s="35">
        <v>2</v>
      </c>
      <c r="B146" s="35">
        <v>6</v>
      </c>
      <c r="C146" s="42">
        <v>1</v>
      </c>
      <c r="D146" s="35">
        <v>7</v>
      </c>
      <c r="E146" s="68"/>
      <c r="F146" s="76" t="s">
        <v>110</v>
      </c>
      <c r="G146" s="58"/>
      <c r="H146" s="60">
        <v>0</v>
      </c>
      <c r="I146" s="60"/>
      <c r="J146" s="60"/>
      <c r="K146" s="60"/>
      <c r="L146" s="60"/>
      <c r="M146" s="60"/>
      <c r="N146" s="60"/>
      <c r="O146" s="60"/>
      <c r="P146" s="60"/>
      <c r="Q146" s="73">
        <f t="shared" ref="Q146:Q149" si="66">+H146+I146+J146+K146+L146+M146+N146+O146+P146</f>
        <v>0</v>
      </c>
      <c r="R146" s="60">
        <f t="shared" si="65"/>
        <v>0</v>
      </c>
      <c r="S146" s="121"/>
    </row>
    <row r="147" spans="1:21" ht="31.5" customHeight="1" x14ac:dyDescent="0.25">
      <c r="A147" s="35">
        <v>2</v>
      </c>
      <c r="B147" s="35">
        <v>6</v>
      </c>
      <c r="C147" s="42">
        <v>1</v>
      </c>
      <c r="D147" s="35">
        <v>8</v>
      </c>
      <c r="E147" s="68"/>
      <c r="F147" s="76" t="s">
        <v>111</v>
      </c>
      <c r="G147" s="58"/>
      <c r="H147" s="60"/>
      <c r="I147" s="60"/>
      <c r="J147" s="60"/>
      <c r="K147" s="60"/>
      <c r="L147" s="60"/>
      <c r="M147" s="60"/>
      <c r="N147" s="60"/>
      <c r="O147" s="60"/>
      <c r="P147" s="60"/>
      <c r="Q147" s="73">
        <f t="shared" si="66"/>
        <v>0</v>
      </c>
      <c r="R147" s="60">
        <f t="shared" si="65"/>
        <v>0</v>
      </c>
      <c r="S147" s="121"/>
    </row>
    <row r="148" spans="1:21" ht="31.5" customHeight="1" x14ac:dyDescent="0.25">
      <c r="A148" s="35">
        <v>2</v>
      </c>
      <c r="B148" s="35">
        <v>6</v>
      </c>
      <c r="C148" s="42">
        <v>1</v>
      </c>
      <c r="D148" s="35">
        <v>9</v>
      </c>
      <c r="E148" s="68"/>
      <c r="F148" s="76" t="s">
        <v>112</v>
      </c>
      <c r="G148" s="58"/>
      <c r="H148" s="60"/>
      <c r="I148" s="60"/>
      <c r="J148" s="60"/>
      <c r="K148" s="60"/>
      <c r="L148" s="60"/>
      <c r="M148" s="60"/>
      <c r="N148" s="60"/>
      <c r="O148" s="60"/>
      <c r="P148" s="60"/>
      <c r="Q148" s="73">
        <f t="shared" si="66"/>
        <v>0</v>
      </c>
      <c r="R148" s="60">
        <f t="shared" si="65"/>
        <v>0</v>
      </c>
      <c r="S148" s="121"/>
    </row>
    <row r="149" spans="1:21" ht="31.5" customHeight="1" x14ac:dyDescent="0.25">
      <c r="A149" s="35"/>
      <c r="B149" s="35"/>
      <c r="C149" s="42"/>
      <c r="D149" s="35"/>
      <c r="E149" s="43"/>
      <c r="F149" s="77"/>
      <c r="G149" s="74"/>
      <c r="H149" s="46"/>
      <c r="I149" s="46"/>
      <c r="J149" s="46"/>
      <c r="K149" s="46"/>
      <c r="L149" s="46"/>
      <c r="M149" s="46"/>
      <c r="N149" s="46"/>
      <c r="O149" s="46"/>
      <c r="P149" s="46"/>
      <c r="Q149" s="73">
        <f t="shared" si="66"/>
        <v>0</v>
      </c>
      <c r="R149" s="46"/>
      <c r="S149" s="120"/>
    </row>
    <row r="150" spans="1:21" ht="31.5" customHeight="1" thickBot="1" x14ac:dyDescent="0.3">
      <c r="A150" s="35">
        <v>2</v>
      </c>
      <c r="B150" s="35">
        <v>6</v>
      </c>
      <c r="C150" s="42">
        <v>2</v>
      </c>
      <c r="D150" s="35"/>
      <c r="E150" s="43"/>
      <c r="F150" s="77" t="s">
        <v>113</v>
      </c>
      <c r="G150" s="45">
        <f>G151+G152</f>
        <v>0</v>
      </c>
      <c r="H150" s="66"/>
      <c r="I150" s="66">
        <f t="shared" ref="I150:R150" si="67">I151+I152</f>
        <v>0</v>
      </c>
      <c r="J150" s="66">
        <f t="shared" si="67"/>
        <v>0</v>
      </c>
      <c r="K150" s="66">
        <f t="shared" si="67"/>
        <v>0</v>
      </c>
      <c r="L150" s="66">
        <f t="shared" si="67"/>
        <v>0</v>
      </c>
      <c r="M150" s="66">
        <f t="shared" si="67"/>
        <v>0</v>
      </c>
      <c r="N150" s="66">
        <f t="shared" si="67"/>
        <v>0</v>
      </c>
      <c r="O150" s="66">
        <f t="shared" si="67"/>
        <v>0</v>
      </c>
      <c r="P150" s="66">
        <f t="shared" si="67"/>
        <v>0</v>
      </c>
      <c r="Q150" s="66">
        <f t="shared" si="67"/>
        <v>0</v>
      </c>
      <c r="R150" s="66">
        <f t="shared" si="67"/>
        <v>0</v>
      </c>
      <c r="S150" s="121"/>
      <c r="T150" s="121"/>
      <c r="U150" s="140"/>
    </row>
    <row r="151" spans="1:21" ht="31.5" customHeight="1" x14ac:dyDescent="0.25">
      <c r="A151" s="35">
        <v>2</v>
      </c>
      <c r="B151" s="35">
        <v>6</v>
      </c>
      <c r="C151" s="42">
        <v>2</v>
      </c>
      <c r="D151" s="35">
        <v>1</v>
      </c>
      <c r="E151" s="68"/>
      <c r="F151" s="56" t="s">
        <v>114</v>
      </c>
      <c r="G151" s="58"/>
      <c r="H151" s="60">
        <v>0</v>
      </c>
      <c r="I151" s="60"/>
      <c r="J151" s="60"/>
      <c r="K151" s="60"/>
      <c r="L151" s="60"/>
      <c r="M151" s="60"/>
      <c r="N151" s="60"/>
      <c r="O151" s="60"/>
      <c r="P151" s="60"/>
      <c r="Q151" s="60">
        <f>+H151+I151+J151+K151+L151+M151+N151+O151+P151</f>
        <v>0</v>
      </c>
      <c r="R151" s="60">
        <f>+G151-Q151</f>
        <v>0</v>
      </c>
      <c r="S151" s="121"/>
    </row>
    <row r="152" spans="1:21" ht="31.5" customHeight="1" x14ac:dyDescent="0.25">
      <c r="A152" s="35">
        <v>2</v>
      </c>
      <c r="B152" s="35">
        <v>6</v>
      </c>
      <c r="C152" s="42">
        <v>2</v>
      </c>
      <c r="D152" s="35">
        <v>3</v>
      </c>
      <c r="E152" s="68"/>
      <c r="F152" s="56" t="s">
        <v>115</v>
      </c>
      <c r="G152" s="58"/>
      <c r="H152" s="60">
        <f>G152*12</f>
        <v>0</v>
      </c>
      <c r="I152" s="60"/>
      <c r="J152" s="60"/>
      <c r="K152" s="60"/>
      <c r="L152" s="60"/>
      <c r="M152" s="60"/>
      <c r="N152" s="60"/>
      <c r="O152" s="60"/>
      <c r="P152" s="60"/>
      <c r="Q152" s="60">
        <f>+H152+I152+J152+K152+L152+M152+N152+O152+P152</f>
        <v>0</v>
      </c>
      <c r="R152" s="60">
        <f t="shared" ref="R152:R153" si="68">+G152-Q152</f>
        <v>0</v>
      </c>
      <c r="S152" s="121"/>
      <c r="T152" s="4"/>
    </row>
    <row r="153" spans="1:21" ht="31.5" customHeight="1" x14ac:dyDescent="0.25">
      <c r="A153" s="35"/>
      <c r="B153" s="35"/>
      <c r="C153" s="42"/>
      <c r="D153" s="35"/>
      <c r="E153" s="43"/>
      <c r="F153" s="54"/>
      <c r="G153" s="74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60">
        <f t="shared" si="68"/>
        <v>0</v>
      </c>
      <c r="S153" s="120"/>
    </row>
    <row r="154" spans="1:21" ht="31.5" customHeight="1" thickBot="1" x14ac:dyDescent="0.3">
      <c r="A154" s="35">
        <v>2</v>
      </c>
      <c r="B154" s="35">
        <v>6</v>
      </c>
      <c r="C154" s="42">
        <v>4</v>
      </c>
      <c r="D154" s="35"/>
      <c r="E154" s="43"/>
      <c r="F154" s="54" t="s">
        <v>116</v>
      </c>
      <c r="G154" s="74">
        <f>G156+G157+G155</f>
        <v>0</v>
      </c>
      <c r="H154" s="60">
        <f>H155+H156</f>
        <v>0</v>
      </c>
      <c r="I154" s="60">
        <f>I155+I156</f>
        <v>0</v>
      </c>
      <c r="J154" s="60">
        <f t="shared" ref="J154:P154" si="69">J155+J156</f>
        <v>0</v>
      </c>
      <c r="K154" s="60">
        <f t="shared" si="69"/>
        <v>0</v>
      </c>
      <c r="L154" s="60">
        <f t="shared" si="69"/>
        <v>0</v>
      </c>
      <c r="M154" s="60">
        <f t="shared" si="69"/>
        <v>0</v>
      </c>
      <c r="N154" s="60">
        <f t="shared" si="69"/>
        <v>0</v>
      </c>
      <c r="O154" s="60">
        <f t="shared" si="69"/>
        <v>0</v>
      </c>
      <c r="P154" s="60">
        <f t="shared" si="69"/>
        <v>0</v>
      </c>
      <c r="Q154" s="60">
        <f>Q155+Q156</f>
        <v>0</v>
      </c>
      <c r="R154" s="60">
        <f>R155+R156</f>
        <v>0</v>
      </c>
      <c r="S154" s="121"/>
    </row>
    <row r="155" spans="1:21" ht="31.5" customHeight="1" thickBot="1" x14ac:dyDescent="0.3">
      <c r="A155" s="35">
        <v>2</v>
      </c>
      <c r="B155" s="35">
        <v>6</v>
      </c>
      <c r="C155" s="42">
        <v>4</v>
      </c>
      <c r="D155" s="35"/>
      <c r="E155" s="43"/>
      <c r="F155" s="76" t="s">
        <v>116</v>
      </c>
      <c r="G155" s="50"/>
      <c r="H155" s="59">
        <v>0</v>
      </c>
      <c r="I155" s="137"/>
      <c r="J155" s="137"/>
      <c r="K155" s="137"/>
      <c r="L155" s="137"/>
      <c r="M155" s="137"/>
      <c r="N155" s="137"/>
      <c r="O155" s="137"/>
      <c r="P155" s="137"/>
      <c r="Q155" s="59">
        <f>+H155+I155+J155+K155+L155+M155+N155+O155+P155</f>
        <v>0</v>
      </c>
      <c r="R155" s="59">
        <f>+G155-Q155</f>
        <v>0</v>
      </c>
      <c r="S155" s="121"/>
    </row>
    <row r="156" spans="1:21" ht="31.5" customHeight="1" x14ac:dyDescent="0.25">
      <c r="A156" s="35">
        <v>2</v>
      </c>
      <c r="B156" s="35">
        <v>6</v>
      </c>
      <c r="C156" s="42">
        <v>4</v>
      </c>
      <c r="D156" s="35">
        <v>1</v>
      </c>
      <c r="E156" s="35"/>
      <c r="F156" s="76" t="s">
        <v>117</v>
      </c>
      <c r="G156" s="58"/>
      <c r="H156" s="60">
        <v>0</v>
      </c>
      <c r="I156" s="136"/>
      <c r="J156" s="136"/>
      <c r="K156" s="136"/>
      <c r="L156" s="136"/>
      <c r="M156" s="136"/>
      <c r="N156" s="136"/>
      <c r="O156" s="136"/>
      <c r="P156" s="136"/>
      <c r="Q156" s="60">
        <f>+H156+I156+J156+K156+L156+M156+N156+O156+P156</f>
        <v>0</v>
      </c>
      <c r="R156" s="59">
        <f>+G156-Q156</f>
        <v>0</v>
      </c>
      <c r="S156" s="121"/>
      <c r="T156" s="4"/>
    </row>
    <row r="157" spans="1:21" ht="31.5" customHeight="1" x14ac:dyDescent="0.25">
      <c r="A157" s="35">
        <v>2</v>
      </c>
      <c r="B157" s="35">
        <v>6</v>
      </c>
      <c r="C157" s="42">
        <v>4</v>
      </c>
      <c r="D157" s="35">
        <v>7</v>
      </c>
      <c r="E157" s="35"/>
      <c r="F157" s="76" t="s">
        <v>118</v>
      </c>
      <c r="G157" s="58">
        <v>0</v>
      </c>
      <c r="H157" s="60">
        <v>0</v>
      </c>
      <c r="I157" s="136"/>
      <c r="J157" s="136"/>
      <c r="K157" s="136"/>
      <c r="L157" s="136"/>
      <c r="M157" s="136"/>
      <c r="N157" s="136"/>
      <c r="O157" s="136"/>
      <c r="P157" s="136"/>
      <c r="Q157" s="60">
        <f>+H157+I157+J157+K157+L157+M157+N157+O157+P157</f>
        <v>0</v>
      </c>
      <c r="R157" s="60">
        <f>+G157-H157+I157</f>
        <v>0</v>
      </c>
      <c r="S157" s="121"/>
    </row>
    <row r="158" spans="1:21" ht="31.5" customHeight="1" thickBot="1" x14ac:dyDescent="0.3">
      <c r="A158" s="35"/>
      <c r="B158" s="35"/>
      <c r="C158" s="42"/>
      <c r="D158" s="34"/>
      <c r="E158" s="35"/>
      <c r="F158" s="76"/>
      <c r="G158" s="61"/>
      <c r="H158" s="66"/>
      <c r="I158" s="138"/>
      <c r="J158" s="138"/>
      <c r="K158" s="138"/>
      <c r="L158" s="138"/>
      <c r="M158" s="138"/>
      <c r="N158" s="138"/>
      <c r="O158" s="138"/>
      <c r="P158" s="138"/>
      <c r="Q158" s="66"/>
      <c r="R158" s="66"/>
      <c r="S158" s="121"/>
    </row>
    <row r="159" spans="1:21" ht="31.5" customHeight="1" thickBot="1" x14ac:dyDescent="0.3">
      <c r="A159" s="86"/>
      <c r="B159" s="86"/>
      <c r="C159" s="87"/>
      <c r="D159" s="88"/>
      <c r="E159" s="88"/>
      <c r="F159" s="89" t="s">
        <v>119</v>
      </c>
      <c r="G159" s="45">
        <f t="shared" ref="G159:P159" si="70">G115+G53+G13</f>
        <v>54039167</v>
      </c>
      <c r="H159" s="45">
        <f>H115+H53+H13</f>
        <v>5359997.83</v>
      </c>
      <c r="I159" s="45">
        <f t="shared" si="70"/>
        <v>4552452.5999999996</v>
      </c>
      <c r="J159" s="45">
        <f t="shared" si="70"/>
        <v>5334753.34</v>
      </c>
      <c r="K159" s="45">
        <f t="shared" si="70"/>
        <v>5010704.2300000004</v>
      </c>
      <c r="L159" s="45">
        <f t="shared" si="70"/>
        <v>5669921.5800000001</v>
      </c>
      <c r="M159" s="45">
        <f t="shared" si="70"/>
        <v>10753362.52</v>
      </c>
      <c r="N159" s="45">
        <f t="shared" si="70"/>
        <v>11329807.07</v>
      </c>
      <c r="O159" s="45">
        <f t="shared" si="70"/>
        <v>7562333.8200000003</v>
      </c>
      <c r="P159" s="45">
        <f t="shared" si="70"/>
        <v>5628336.9399999995</v>
      </c>
      <c r="Q159" s="45">
        <f>Q115+Q53+Q13</f>
        <v>61201669.929999992</v>
      </c>
      <c r="R159" s="45">
        <f>R115+R53+R13</f>
        <v>-7162502.9299999941</v>
      </c>
      <c r="S159" s="117"/>
    </row>
    <row r="160" spans="1:21" ht="31.5" customHeight="1" x14ac:dyDescent="0.25">
      <c r="A160" s="114"/>
      <c r="B160" s="114"/>
      <c r="C160" s="115"/>
      <c r="D160" s="115"/>
      <c r="E160" s="115"/>
      <c r="F160" s="116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</row>
    <row r="161" spans="1:19" ht="15.75" x14ac:dyDescent="0.25">
      <c r="A161" s="114"/>
      <c r="B161" s="114"/>
      <c r="C161" s="115"/>
      <c r="D161" s="115"/>
      <c r="E161" s="115"/>
      <c r="F161" s="116"/>
      <c r="G161" s="117"/>
      <c r="H161" s="117"/>
      <c r="I161" s="117"/>
      <c r="J161" s="117"/>
      <c r="K161" s="117"/>
      <c r="L161" s="117"/>
      <c r="M161" s="117"/>
      <c r="N161" s="117"/>
      <c r="O161" s="117"/>
      <c r="P161" s="117"/>
      <c r="Q161" s="117"/>
      <c r="R161" s="117"/>
      <c r="S161" s="117"/>
    </row>
    <row r="162" spans="1:19" ht="18" x14ac:dyDescent="0.25">
      <c r="A162" s="90"/>
      <c r="B162" s="90"/>
      <c r="C162" s="21"/>
      <c r="D162" s="21"/>
      <c r="E162" s="91"/>
      <c r="F162" s="92"/>
      <c r="G162" s="93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13"/>
      <c r="S162" s="12"/>
    </row>
    <row r="163" spans="1:19" ht="15.75" x14ac:dyDescent="0.25">
      <c r="A163" s="19"/>
      <c r="B163" s="19"/>
      <c r="C163" s="19"/>
      <c r="D163" s="19"/>
      <c r="E163" s="115"/>
      <c r="F163" s="116"/>
      <c r="G163" s="117"/>
      <c r="H163" s="117"/>
      <c r="I163" s="117"/>
      <c r="J163" s="95"/>
      <c r="K163" s="95"/>
      <c r="L163" s="95"/>
      <c r="M163" s="95"/>
      <c r="N163" s="95"/>
      <c r="O163" s="95"/>
      <c r="P163" s="95"/>
      <c r="Q163" s="95"/>
      <c r="R163" s="13"/>
      <c r="S163" s="13"/>
    </row>
    <row r="164" spans="1:19" ht="18.75" x14ac:dyDescent="0.3">
      <c r="A164" s="19"/>
      <c r="B164" s="19"/>
      <c r="C164" s="19"/>
      <c r="D164" s="19"/>
      <c r="E164" s="115"/>
      <c r="F164" s="116"/>
      <c r="G164" s="117"/>
      <c r="H164" s="117"/>
      <c r="I164" s="117"/>
      <c r="J164" s="95"/>
      <c r="K164" s="95"/>
      <c r="L164" s="95"/>
      <c r="M164" s="95"/>
      <c r="N164" s="95"/>
      <c r="O164" s="95"/>
      <c r="P164" s="95"/>
      <c r="Q164" s="95"/>
      <c r="R164" s="113"/>
      <c r="S164" s="113"/>
    </row>
    <row r="165" spans="1:19" ht="18.75" x14ac:dyDescent="0.3">
      <c r="A165" s="19"/>
      <c r="B165" s="19"/>
      <c r="C165" s="19"/>
      <c r="D165" s="19"/>
      <c r="E165" s="115"/>
      <c r="F165" s="116"/>
      <c r="G165" s="117"/>
      <c r="H165" s="117"/>
      <c r="I165" s="117"/>
      <c r="J165" s="95"/>
      <c r="K165" s="95"/>
      <c r="L165" s="95"/>
      <c r="M165" s="95"/>
      <c r="N165" s="95"/>
      <c r="O165" s="95"/>
      <c r="P165" s="95"/>
      <c r="Q165" s="95"/>
      <c r="R165" s="113"/>
      <c r="S165" s="11"/>
    </row>
    <row r="166" spans="1:19" ht="18.75" x14ac:dyDescent="0.3">
      <c r="A166" s="19"/>
      <c r="B166" s="19"/>
      <c r="C166" s="19"/>
      <c r="D166" s="19"/>
      <c r="E166" s="91"/>
      <c r="G166" s="93"/>
      <c r="H166" s="94"/>
      <c r="I166" s="94"/>
      <c r="J166" s="95"/>
      <c r="K166" s="95"/>
      <c r="L166" s="95"/>
      <c r="M166" s="95"/>
      <c r="N166" s="95"/>
      <c r="O166" s="95"/>
      <c r="P166" s="95"/>
      <c r="Q166" s="95"/>
      <c r="R166" s="113"/>
      <c r="S166" s="113"/>
    </row>
    <row r="167" spans="1:19" ht="19.5" thickBot="1" x14ac:dyDescent="0.35">
      <c r="A167" s="19"/>
      <c r="B167" s="19"/>
      <c r="C167" s="19"/>
      <c r="D167" s="19"/>
      <c r="E167" s="19"/>
      <c r="F167" s="92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11"/>
      <c r="S167" s="11"/>
    </row>
    <row r="168" spans="1:19" ht="18.75" x14ac:dyDescent="0.3">
      <c r="A168" s="19"/>
      <c r="B168" s="19"/>
      <c r="C168" s="19"/>
      <c r="D168" s="19"/>
      <c r="E168" s="19"/>
      <c r="F168" s="96" t="s">
        <v>120</v>
      </c>
      <c r="G168" s="95"/>
      <c r="H168" s="95"/>
      <c r="I168" s="95"/>
      <c r="J168" s="7"/>
      <c r="K168" s="7"/>
      <c r="L168" s="7"/>
      <c r="M168" s="7"/>
      <c r="N168" s="7"/>
      <c r="O168" s="7"/>
      <c r="P168" s="7"/>
      <c r="Q168" s="7"/>
      <c r="R168" s="15"/>
      <c r="S168" s="15"/>
    </row>
    <row r="169" spans="1:19" ht="18.75" x14ac:dyDescent="0.3">
      <c r="A169" s="19"/>
      <c r="B169" s="19"/>
      <c r="C169" s="19"/>
      <c r="D169" s="19"/>
      <c r="E169" s="19"/>
      <c r="F169" s="92" t="s">
        <v>121</v>
      </c>
      <c r="G169" s="97"/>
      <c r="H169" s="95"/>
      <c r="I169" s="95"/>
      <c r="J169" s="7"/>
      <c r="K169" s="7"/>
      <c r="L169" s="7"/>
      <c r="M169" s="7"/>
      <c r="N169" s="7"/>
      <c r="O169" s="7"/>
      <c r="P169" s="7"/>
      <c r="Q169" s="7"/>
      <c r="R169" s="15"/>
      <c r="S169" s="15"/>
    </row>
    <row r="170" spans="1:19" ht="18.75" x14ac:dyDescent="0.3">
      <c r="A170" s="19"/>
      <c r="B170" s="19"/>
      <c r="C170" s="19"/>
      <c r="D170" s="19"/>
      <c r="E170" s="19"/>
      <c r="F170" s="92"/>
      <c r="G170" s="97"/>
      <c r="H170" s="95"/>
      <c r="I170" s="95"/>
      <c r="J170" s="7"/>
      <c r="K170" s="7"/>
      <c r="L170" s="7"/>
      <c r="M170" s="7"/>
      <c r="N170" s="7"/>
      <c r="O170" s="7"/>
      <c r="P170" s="7"/>
      <c r="Q170" s="7"/>
      <c r="R170" s="15"/>
      <c r="S170" s="15"/>
    </row>
    <row r="171" spans="1:19" ht="18.75" x14ac:dyDescent="0.3">
      <c r="A171" s="19"/>
      <c r="B171" s="19"/>
      <c r="C171" s="19"/>
      <c r="D171" s="19"/>
      <c r="E171" s="19"/>
      <c r="F171" s="92"/>
      <c r="G171" s="95"/>
      <c r="H171" s="95"/>
      <c r="I171" s="95"/>
      <c r="J171" s="7"/>
      <c r="K171" s="7"/>
      <c r="L171" s="7"/>
      <c r="M171" s="7"/>
      <c r="N171" s="7"/>
      <c r="O171" s="7"/>
      <c r="P171" s="7"/>
      <c r="Q171" s="7"/>
      <c r="R171" s="15"/>
      <c r="S171" s="15"/>
    </row>
    <row r="172" spans="1:19" ht="18" x14ac:dyDescent="0.25">
      <c r="A172" s="19"/>
      <c r="B172" s="19"/>
      <c r="C172" s="19"/>
      <c r="D172" s="19"/>
      <c r="E172" s="19"/>
      <c r="F172" s="92"/>
      <c r="G172" s="97"/>
      <c r="H172" s="163"/>
      <c r="I172" s="163"/>
      <c r="J172" s="7"/>
      <c r="K172" s="7"/>
      <c r="L172" s="7"/>
      <c r="M172" s="7"/>
      <c r="N172" s="7"/>
      <c r="O172" s="7"/>
      <c r="P172" s="7"/>
      <c r="Q172" s="7"/>
      <c r="R172" s="12"/>
      <c r="S172" s="12"/>
    </row>
    <row r="173" spans="1:19" ht="18" x14ac:dyDescent="0.25">
      <c r="A173" s="19"/>
      <c r="B173" s="19"/>
      <c r="C173" s="19"/>
      <c r="D173" s="19"/>
      <c r="E173" s="19"/>
      <c r="F173" s="92"/>
      <c r="G173" s="97"/>
      <c r="H173" s="163"/>
      <c r="I173" s="163"/>
      <c r="J173" s="7"/>
      <c r="K173" s="7"/>
      <c r="L173" s="7"/>
      <c r="M173" s="7"/>
      <c r="N173" s="7"/>
      <c r="O173" s="7"/>
      <c r="P173" s="7"/>
      <c r="Q173" s="7"/>
      <c r="R173" s="12"/>
      <c r="S173" s="12"/>
    </row>
    <row r="174" spans="1:19" ht="18" x14ac:dyDescent="0.25">
      <c r="A174" s="19"/>
      <c r="B174" s="19"/>
      <c r="C174" s="19"/>
      <c r="D174" s="19"/>
      <c r="E174" s="19"/>
      <c r="F174" s="92"/>
      <c r="G174" s="97"/>
      <c r="H174" s="163"/>
      <c r="I174" s="163"/>
      <c r="J174" s="7"/>
      <c r="K174" s="7"/>
      <c r="L174" s="7"/>
      <c r="M174" s="7"/>
      <c r="N174" s="7"/>
      <c r="O174" s="7"/>
      <c r="P174" s="7"/>
      <c r="Q174" s="7"/>
      <c r="R174" s="17"/>
      <c r="S174" s="17"/>
    </row>
    <row r="175" spans="1:19" ht="18.75" thickBot="1" x14ac:dyDescent="0.3">
      <c r="A175" s="19"/>
      <c r="B175" s="19"/>
      <c r="C175" s="19"/>
      <c r="D175" s="19"/>
      <c r="E175" s="19"/>
      <c r="F175" s="100"/>
      <c r="G175" s="97"/>
      <c r="H175" s="163"/>
      <c r="I175" s="163"/>
      <c r="J175" s="7"/>
      <c r="K175" s="7"/>
      <c r="L175" s="7"/>
      <c r="M175" s="7"/>
      <c r="N175" s="7"/>
      <c r="O175" s="7"/>
      <c r="P175" s="7"/>
      <c r="Q175" s="7"/>
      <c r="R175" s="17"/>
      <c r="S175" s="17"/>
    </row>
    <row r="176" spans="1:19" ht="18" x14ac:dyDescent="0.25">
      <c r="A176" s="19"/>
      <c r="B176" s="19"/>
      <c r="C176" s="19"/>
      <c r="D176" s="19"/>
      <c r="E176" s="19"/>
      <c r="F176" s="92" t="s">
        <v>135</v>
      </c>
      <c r="G176" s="98"/>
      <c r="H176" s="163"/>
      <c r="I176" s="163"/>
      <c r="J176" s="7"/>
      <c r="K176" s="7"/>
      <c r="L176" s="7"/>
      <c r="M176" s="7"/>
      <c r="N176" s="7"/>
      <c r="O176" s="7"/>
      <c r="P176" s="7"/>
      <c r="Q176" s="7"/>
      <c r="R176" s="17"/>
      <c r="S176" s="17"/>
    </row>
    <row r="177" spans="1:19" ht="18" x14ac:dyDescent="0.25">
      <c r="A177" s="19"/>
      <c r="B177" s="19"/>
      <c r="C177" s="19"/>
      <c r="D177" s="19"/>
      <c r="E177" s="19"/>
      <c r="F177" s="92" t="s">
        <v>122</v>
      </c>
      <c r="G177" s="98"/>
      <c r="H177" s="163"/>
      <c r="I177" s="163"/>
      <c r="J177" s="7"/>
      <c r="K177" s="7"/>
      <c r="L177" s="7"/>
      <c r="M177" s="7"/>
      <c r="N177" s="7"/>
      <c r="O177" s="7"/>
      <c r="P177" s="7"/>
      <c r="Q177" s="7"/>
      <c r="R177" s="16"/>
      <c r="S177" s="16"/>
    </row>
    <row r="178" spans="1:19" ht="18" x14ac:dyDescent="0.25">
      <c r="A178" s="19"/>
      <c r="B178" s="19"/>
      <c r="C178" s="19"/>
      <c r="D178" s="19"/>
      <c r="E178" s="19"/>
      <c r="F178" s="92"/>
      <c r="G178" s="99"/>
      <c r="H178" s="163"/>
      <c r="I178" s="163"/>
      <c r="J178" s="7"/>
      <c r="K178" s="7"/>
      <c r="L178" s="7"/>
      <c r="M178" s="7"/>
      <c r="N178" s="7"/>
      <c r="O178" s="7"/>
      <c r="P178" s="7"/>
      <c r="Q178" s="7"/>
      <c r="R178" s="14"/>
      <c r="S178" s="14"/>
    </row>
    <row r="179" spans="1:19" ht="18" x14ac:dyDescent="0.25">
      <c r="A179" s="19"/>
      <c r="B179" s="19"/>
      <c r="C179" s="19"/>
      <c r="D179" s="19"/>
      <c r="E179" s="19"/>
      <c r="F179" s="90"/>
      <c r="G179" s="99"/>
      <c r="H179" s="163"/>
      <c r="I179" s="163"/>
      <c r="J179" s="102"/>
      <c r="K179" s="102"/>
      <c r="L179" s="102"/>
      <c r="M179" s="102"/>
      <c r="N179" s="102"/>
      <c r="O179" s="102">
        <v>0</v>
      </c>
      <c r="P179" s="102"/>
      <c r="Q179" s="102"/>
      <c r="R179" s="14"/>
      <c r="S179" s="14"/>
    </row>
    <row r="180" spans="1:19" ht="18" x14ac:dyDescent="0.25">
      <c r="A180" s="19"/>
      <c r="B180" s="19"/>
      <c r="C180" s="19"/>
      <c r="D180" s="103"/>
      <c r="E180" s="19"/>
      <c r="F180" s="90"/>
      <c r="G180" s="99"/>
      <c r="H180" s="163"/>
      <c r="I180" s="163"/>
      <c r="J180" s="102"/>
      <c r="K180" s="102"/>
      <c r="L180" s="102"/>
      <c r="M180" s="102"/>
      <c r="N180" s="102"/>
      <c r="O180" s="102"/>
      <c r="P180" s="102"/>
      <c r="Q180" s="102"/>
      <c r="R180" s="14"/>
      <c r="S180" s="14"/>
    </row>
    <row r="181" spans="1:19" ht="18" x14ac:dyDescent="0.25">
      <c r="A181" s="19"/>
      <c r="B181" s="19"/>
      <c r="C181" s="19"/>
      <c r="D181" s="19"/>
      <c r="E181" s="19"/>
      <c r="F181" s="19"/>
      <c r="G181" s="101"/>
      <c r="H181" s="163"/>
      <c r="I181" s="163"/>
      <c r="J181" s="104"/>
      <c r="K181" s="104"/>
      <c r="L181" s="104"/>
      <c r="M181" s="104"/>
      <c r="N181" s="104"/>
      <c r="O181" s="104"/>
      <c r="P181" s="104"/>
      <c r="Q181" s="104"/>
      <c r="R181" s="18"/>
      <c r="S181" s="18"/>
    </row>
    <row r="182" spans="1:19" ht="18" x14ac:dyDescent="0.25">
      <c r="A182" s="19"/>
      <c r="B182" s="19"/>
      <c r="C182" s="19"/>
      <c r="D182" s="19"/>
      <c r="E182" s="19"/>
      <c r="F182" s="19"/>
      <c r="G182" s="92"/>
      <c r="H182" s="163"/>
      <c r="I182" s="163"/>
      <c r="J182" s="104"/>
      <c r="K182" s="104"/>
      <c r="L182" s="104"/>
      <c r="M182" s="104"/>
      <c r="N182" s="104"/>
      <c r="O182" s="104"/>
      <c r="P182" s="104"/>
      <c r="Q182" s="104"/>
      <c r="R182" s="18"/>
      <c r="S182" s="18"/>
    </row>
    <row r="183" spans="1:19" ht="18.75" thickBot="1" x14ac:dyDescent="0.3">
      <c r="A183" s="19"/>
      <c r="B183" s="19"/>
      <c r="C183" s="19"/>
      <c r="D183" s="19"/>
      <c r="E183" s="19"/>
      <c r="F183" s="100"/>
      <c r="G183" s="92"/>
      <c r="H183" s="102"/>
      <c r="I183" s="102"/>
      <c r="J183" s="104"/>
      <c r="K183" s="104"/>
      <c r="L183" s="104"/>
      <c r="M183" s="104"/>
      <c r="N183" s="104"/>
      <c r="O183" s="104"/>
      <c r="P183" s="104"/>
      <c r="Q183" s="104"/>
      <c r="R183" s="18"/>
      <c r="S183" s="18"/>
    </row>
    <row r="184" spans="1:19" ht="18" x14ac:dyDescent="0.25">
      <c r="A184" s="19"/>
      <c r="B184" s="19"/>
      <c r="C184" s="19"/>
      <c r="D184" s="19"/>
      <c r="E184" s="19"/>
      <c r="F184" s="92" t="s">
        <v>123</v>
      </c>
      <c r="G184" s="103"/>
      <c r="H184" s="102"/>
      <c r="I184" s="102"/>
      <c r="J184" s="104"/>
      <c r="K184" s="104"/>
      <c r="L184" s="104"/>
      <c r="M184" s="104"/>
      <c r="N184" s="104"/>
      <c r="O184" s="104"/>
      <c r="P184" s="104"/>
      <c r="Q184" s="104"/>
      <c r="R184" s="7"/>
      <c r="S184" s="7"/>
    </row>
    <row r="185" spans="1:19" ht="18" x14ac:dyDescent="0.25">
      <c r="A185" s="19"/>
      <c r="B185" s="19"/>
      <c r="C185" s="19"/>
      <c r="D185" s="19"/>
      <c r="E185" s="19"/>
      <c r="F185" s="92" t="s">
        <v>124</v>
      </c>
      <c r="G185" s="19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7"/>
      <c r="S185" s="7"/>
    </row>
    <row r="186" spans="1:19" ht="18" x14ac:dyDescent="0.25">
      <c r="A186" s="19"/>
      <c r="B186" s="19"/>
      <c r="C186" s="19"/>
      <c r="D186" s="19"/>
      <c r="E186" s="19"/>
      <c r="F186" s="92"/>
      <c r="G186" s="19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7"/>
      <c r="S186" s="7"/>
    </row>
    <row r="187" spans="1:19" x14ac:dyDescent="0.25">
      <c r="A187" s="19"/>
      <c r="B187" s="19"/>
      <c r="C187" s="19"/>
      <c r="D187" s="19"/>
      <c r="E187" s="19"/>
      <c r="F187" s="19"/>
      <c r="G187" s="19"/>
      <c r="H187" s="104"/>
      <c r="I187" s="104"/>
      <c r="J187" s="20"/>
      <c r="K187" s="20"/>
      <c r="L187" s="20"/>
      <c r="M187" s="20"/>
      <c r="N187" s="20"/>
      <c r="O187" s="20"/>
      <c r="P187" s="20"/>
      <c r="Q187" s="20"/>
      <c r="R187" s="7"/>
      <c r="S187" s="7"/>
    </row>
    <row r="188" spans="1:19" x14ac:dyDescent="0.25">
      <c r="A188" s="19"/>
      <c r="B188" s="19"/>
      <c r="C188" s="19"/>
      <c r="D188" s="19"/>
      <c r="E188" s="19"/>
      <c r="F188" s="19"/>
      <c r="G188" s="19"/>
      <c r="H188" s="104"/>
      <c r="I188" s="104"/>
      <c r="J188" s="20"/>
      <c r="K188" s="20"/>
      <c r="L188" s="20"/>
      <c r="M188" s="20"/>
      <c r="N188" s="20"/>
      <c r="O188" s="20"/>
      <c r="P188" s="20"/>
      <c r="Q188" s="20"/>
      <c r="R188" s="7"/>
      <c r="S188" s="7"/>
    </row>
    <row r="189" spans="1:19" x14ac:dyDescent="0.25">
      <c r="A189" s="19"/>
      <c r="B189" s="19"/>
      <c r="C189" s="19"/>
      <c r="D189" s="19"/>
      <c r="E189" s="19"/>
      <c r="F189" s="19"/>
      <c r="G189" s="19"/>
      <c r="H189" s="104"/>
      <c r="I189" s="104"/>
      <c r="J189" s="20"/>
      <c r="K189" s="20"/>
      <c r="L189" s="20"/>
      <c r="M189" s="20"/>
      <c r="N189" s="20"/>
      <c r="O189" s="20"/>
      <c r="P189" s="20"/>
      <c r="Q189" s="20"/>
      <c r="R189" s="7"/>
      <c r="S189" s="7"/>
    </row>
    <row r="190" spans="1:19" x14ac:dyDescent="0.25">
      <c r="A190" s="19"/>
      <c r="B190" s="19"/>
      <c r="C190" s="19"/>
      <c r="D190" s="19"/>
      <c r="E190" s="19"/>
      <c r="G190" s="19"/>
      <c r="H190" s="104"/>
      <c r="I190" s="104"/>
      <c r="J190" s="20"/>
      <c r="K190" s="20"/>
      <c r="L190" s="20"/>
      <c r="M190" s="20"/>
      <c r="N190" s="20"/>
      <c r="O190" s="20"/>
      <c r="P190" s="20"/>
      <c r="Q190" s="20"/>
      <c r="R190" s="7"/>
      <c r="S190" s="7"/>
    </row>
    <row r="191" spans="1:19" x14ac:dyDescent="0.25">
      <c r="A191" s="19"/>
      <c r="B191" s="19"/>
      <c r="C191" s="19"/>
      <c r="D191" s="19"/>
      <c r="E191" s="19"/>
      <c r="G191" s="19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7"/>
      <c r="S191" s="7"/>
    </row>
    <row r="192" spans="1:19" ht="18" x14ac:dyDescent="0.25">
      <c r="E192" s="19"/>
      <c r="F192" s="92"/>
      <c r="G192" s="19"/>
      <c r="H192" s="20"/>
      <c r="I192" s="20"/>
      <c r="R192" s="7"/>
      <c r="S192" s="7"/>
    </row>
    <row r="193" spans="18:19" x14ac:dyDescent="0.25">
      <c r="R193" s="7"/>
      <c r="S193" s="7"/>
    </row>
    <row r="194" spans="18:19" x14ac:dyDescent="0.25">
      <c r="R194" s="7"/>
      <c r="S194" s="7"/>
    </row>
    <row r="195" spans="18:19" x14ac:dyDescent="0.25">
      <c r="R195" s="7"/>
      <c r="S195" s="7"/>
    </row>
    <row r="196" spans="18:19" x14ac:dyDescent="0.25">
      <c r="R196" s="7"/>
      <c r="S196" s="7"/>
    </row>
    <row r="197" spans="18:19" x14ac:dyDescent="0.25">
      <c r="R197" s="7"/>
      <c r="S197" s="7"/>
    </row>
    <row r="198" spans="18:19" x14ac:dyDescent="0.25">
      <c r="R198" s="7"/>
      <c r="S198" s="7"/>
    </row>
    <row r="199" spans="18:19" x14ac:dyDescent="0.25">
      <c r="R199" s="7"/>
      <c r="S199" s="7"/>
    </row>
    <row r="200" spans="18:19" x14ac:dyDescent="0.25">
      <c r="R200" s="7"/>
      <c r="S200" s="7"/>
    </row>
    <row r="201" spans="18:19" x14ac:dyDescent="0.25">
      <c r="R201" s="7"/>
      <c r="S201" s="7"/>
    </row>
    <row r="202" spans="18:19" x14ac:dyDescent="0.25">
      <c r="R202" s="7"/>
      <c r="S202" s="7"/>
    </row>
    <row r="203" spans="18:19" x14ac:dyDescent="0.25">
      <c r="R203" s="7"/>
      <c r="S203" s="7"/>
    </row>
    <row r="204" spans="18:19" x14ac:dyDescent="0.25">
      <c r="R204" s="7"/>
      <c r="S204" s="7"/>
    </row>
    <row r="205" spans="18:19" x14ac:dyDescent="0.25">
      <c r="R205" s="7"/>
      <c r="S205" s="7"/>
    </row>
    <row r="206" spans="18:19" x14ac:dyDescent="0.25">
      <c r="R206" s="7"/>
      <c r="S206" s="7"/>
    </row>
    <row r="207" spans="18:19" x14ac:dyDescent="0.25">
      <c r="R207" s="7"/>
      <c r="S207" s="7"/>
    </row>
    <row r="208" spans="18:19" x14ac:dyDescent="0.25">
      <c r="R208" s="7"/>
      <c r="S208" s="7"/>
    </row>
    <row r="209" spans="18:19" x14ac:dyDescent="0.25">
      <c r="R209" s="7"/>
      <c r="S209" s="7"/>
    </row>
    <row r="210" spans="18:19" x14ac:dyDescent="0.25">
      <c r="R210" s="7"/>
      <c r="S210" s="7"/>
    </row>
    <row r="211" spans="18:19" x14ac:dyDescent="0.25">
      <c r="R211" s="7"/>
      <c r="S211" s="7"/>
    </row>
    <row r="212" spans="18:19" x14ac:dyDescent="0.25">
      <c r="R212" s="7"/>
      <c r="S212" s="7"/>
    </row>
    <row r="213" spans="18:19" x14ac:dyDescent="0.25">
      <c r="R213" s="7"/>
      <c r="S213" s="7"/>
    </row>
    <row r="214" spans="18:19" x14ac:dyDescent="0.25">
      <c r="R214" s="7"/>
      <c r="S214" s="7"/>
    </row>
    <row r="215" spans="18:19" x14ac:dyDescent="0.25">
      <c r="R215" s="7"/>
      <c r="S215" s="7"/>
    </row>
    <row r="216" spans="18:19" x14ac:dyDescent="0.25">
      <c r="R216" s="7"/>
      <c r="S216" s="7"/>
    </row>
    <row r="217" spans="18:19" x14ac:dyDescent="0.25">
      <c r="R217" s="7"/>
      <c r="S217" s="7"/>
    </row>
    <row r="218" spans="18:19" x14ac:dyDescent="0.25">
      <c r="R218" s="7"/>
      <c r="S218" s="7"/>
    </row>
    <row r="219" spans="18:19" x14ac:dyDescent="0.25">
      <c r="R219" s="7"/>
      <c r="S219" s="7"/>
    </row>
    <row r="220" spans="18:19" x14ac:dyDescent="0.25">
      <c r="R220" s="7"/>
      <c r="S220" s="7"/>
    </row>
    <row r="221" spans="18:19" x14ac:dyDescent="0.25">
      <c r="R221" s="7"/>
      <c r="S221" s="7"/>
    </row>
    <row r="222" spans="18:19" x14ac:dyDescent="0.25">
      <c r="R222" s="7"/>
      <c r="S222" s="7"/>
    </row>
    <row r="223" spans="18:19" x14ac:dyDescent="0.25">
      <c r="R223" s="7"/>
      <c r="S223" s="7"/>
    </row>
    <row r="224" spans="18:19" x14ac:dyDescent="0.25">
      <c r="R224" s="7"/>
      <c r="S224" s="7"/>
    </row>
    <row r="225" spans="18:19" x14ac:dyDescent="0.25">
      <c r="R225" s="7"/>
      <c r="S225" s="7"/>
    </row>
    <row r="226" spans="18:19" x14ac:dyDescent="0.25">
      <c r="R226" s="7"/>
      <c r="S226" s="7"/>
    </row>
    <row r="227" spans="18:19" x14ac:dyDescent="0.25">
      <c r="R227" s="7"/>
      <c r="S227" s="7"/>
    </row>
    <row r="228" spans="18:19" x14ac:dyDescent="0.25">
      <c r="R228" s="7"/>
      <c r="S228" s="7"/>
    </row>
    <row r="229" spans="18:19" x14ac:dyDescent="0.25">
      <c r="R229" s="7"/>
      <c r="S229" s="7"/>
    </row>
    <row r="230" spans="18:19" x14ac:dyDescent="0.25">
      <c r="R230" s="7"/>
      <c r="S230" s="7"/>
    </row>
    <row r="231" spans="18:19" x14ac:dyDescent="0.25">
      <c r="R231" s="7"/>
      <c r="S231" s="7"/>
    </row>
    <row r="232" spans="18:19" x14ac:dyDescent="0.25">
      <c r="R232" s="7"/>
      <c r="S232" s="7"/>
    </row>
    <row r="233" spans="18:19" x14ac:dyDescent="0.25">
      <c r="R233" s="7"/>
      <c r="S233" s="7"/>
    </row>
    <row r="234" spans="18:19" x14ac:dyDescent="0.25">
      <c r="R234" s="7"/>
      <c r="S234" s="7"/>
    </row>
    <row r="235" spans="18:19" x14ac:dyDescent="0.25">
      <c r="R235" s="7"/>
      <c r="S235" s="7"/>
    </row>
    <row r="236" spans="18:19" x14ac:dyDescent="0.25">
      <c r="R236" s="7"/>
      <c r="S236" s="7"/>
    </row>
    <row r="237" spans="18:19" x14ac:dyDescent="0.25">
      <c r="R237" s="7"/>
      <c r="S237" s="7"/>
    </row>
    <row r="238" spans="18:19" x14ac:dyDescent="0.25">
      <c r="R238" s="7"/>
      <c r="S238" s="7"/>
    </row>
    <row r="239" spans="18:19" x14ac:dyDescent="0.25">
      <c r="R239" s="7"/>
      <c r="S239" s="7"/>
    </row>
    <row r="240" spans="18:19" x14ac:dyDescent="0.25">
      <c r="R240" s="7"/>
      <c r="S240" s="7"/>
    </row>
    <row r="241" spans="18:19" x14ac:dyDescent="0.25">
      <c r="R241" s="7"/>
      <c r="S241" s="7"/>
    </row>
    <row r="242" spans="18:19" x14ac:dyDescent="0.25">
      <c r="R242" s="7"/>
      <c r="S242" s="7"/>
    </row>
    <row r="243" spans="18:19" x14ac:dyDescent="0.25">
      <c r="R243" s="7"/>
      <c r="S243" s="7"/>
    </row>
    <row r="244" spans="18:19" x14ac:dyDescent="0.25">
      <c r="R244" s="7"/>
      <c r="S244" s="7"/>
    </row>
    <row r="245" spans="18:19" x14ac:dyDescent="0.25">
      <c r="R245" s="7"/>
      <c r="S245" s="7"/>
    </row>
    <row r="246" spans="18:19" x14ac:dyDescent="0.25">
      <c r="R246" s="7"/>
      <c r="S246" s="7"/>
    </row>
    <row r="247" spans="18:19" x14ac:dyDescent="0.25">
      <c r="R247" s="7"/>
      <c r="S247" s="7"/>
    </row>
    <row r="248" spans="18:19" x14ac:dyDescent="0.25">
      <c r="R248" s="7"/>
      <c r="S248" s="7"/>
    </row>
    <row r="249" spans="18:19" x14ac:dyDescent="0.25">
      <c r="R249" s="7"/>
      <c r="S249" s="7"/>
    </row>
    <row r="250" spans="18:19" x14ac:dyDescent="0.25">
      <c r="R250" s="7"/>
      <c r="S250" s="7"/>
    </row>
    <row r="251" spans="18:19" x14ac:dyDescent="0.25">
      <c r="R251" s="7"/>
      <c r="S251" s="7"/>
    </row>
    <row r="252" spans="18:19" x14ac:dyDescent="0.25">
      <c r="R252" s="7"/>
      <c r="S252" s="7"/>
    </row>
    <row r="253" spans="18:19" x14ac:dyDescent="0.25">
      <c r="R253" s="7"/>
      <c r="S253" s="7"/>
    </row>
    <row r="254" spans="18:19" x14ac:dyDescent="0.25">
      <c r="R254" s="7"/>
      <c r="S254" s="7"/>
    </row>
    <row r="255" spans="18:19" x14ac:dyDescent="0.25">
      <c r="R255" s="7"/>
      <c r="S255" s="7"/>
    </row>
    <row r="256" spans="18:19" x14ac:dyDescent="0.25">
      <c r="R256" s="7"/>
      <c r="S256" s="7"/>
    </row>
    <row r="257" spans="18:19" x14ac:dyDescent="0.25">
      <c r="R257" s="7"/>
      <c r="S257" s="7"/>
    </row>
    <row r="258" spans="18:19" x14ac:dyDescent="0.25">
      <c r="R258" s="7"/>
      <c r="S258" s="7"/>
    </row>
    <row r="259" spans="18:19" x14ac:dyDescent="0.25">
      <c r="R259" s="7"/>
      <c r="S259" s="7"/>
    </row>
  </sheetData>
  <mergeCells count="3">
    <mergeCell ref="A9:E9"/>
    <mergeCell ref="A6:Q6"/>
    <mergeCell ref="A7:Q7"/>
  </mergeCells>
  <pageMargins left="0.51181102362204722" right="0.70866141732283472" top="0.74803149606299213" bottom="0.74803149606299213" header="0.31496062992125984" footer="0.31496062992125984"/>
  <pageSetup paperSize="5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2025</vt:lpstr>
      <vt:lpstr>'SEPTIEMBRE 2025'!Área_de_impresión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2025-10-09T17:52:58Z</cp:lastPrinted>
  <dcterms:created xsi:type="dcterms:W3CDTF">2015-06-05T18:19:34Z</dcterms:created>
  <dcterms:modified xsi:type="dcterms:W3CDTF">2025-10-09T17:53:14Z</dcterms:modified>
</cp:coreProperties>
</file>